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\Institut\DBHD-Wärmeleitung in Steinsalz\Emails\email_2025-01-09\"/>
    </mc:Choice>
  </mc:AlternateContent>
  <bookViews>
    <workbookView xWindow="0" yWindow="0" windowWidth="16380" windowHeight="8190" tabRatio="500" activeTab="1"/>
  </bookViews>
  <sheets>
    <sheet name="Vorgaben" sheetId="6" r:id="rId1"/>
    <sheet name="Tabelle5" sheetId="7" r:id="rId2"/>
    <sheet name="Tab_11416" sheetId="5" r:id="rId3"/>
  </sheets>
  <definedNames>
    <definedName name="solver_adj" localSheetId="2" hidden="1">Tab_11416!$B$3,Tab_11416!$B$5,Tab_11416!$D$42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Tab_11416!$B$38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opt" localSheetId="2" hidden="1">Tab_11416!$D$40</definedName>
    <definedName name="solver_pre" localSheetId="2" hidden="1">0.000001</definedName>
    <definedName name="solver_rbv" localSheetId="2" hidden="1">1</definedName>
    <definedName name="solver_rel1" localSheetId="2" hidden="1">2</definedName>
    <definedName name="solver_rhs1" localSheetId="2" hidden="1">9.7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val" localSheetId="2" hidden="1">11416</definedName>
    <definedName name="solver_ver" localSheetId="2" hidden="1">3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9" i="5" l="1"/>
  <c r="C61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C49" i="7"/>
  <c r="C46" i="7"/>
  <c r="B20" i="6"/>
  <c r="B19" i="6"/>
  <c r="B18" i="6"/>
  <c r="B17" i="6"/>
  <c r="B16" i="6"/>
  <c r="B13" i="6"/>
  <c r="B12" i="6"/>
  <c r="B11" i="6"/>
  <c r="B9" i="6"/>
  <c r="B8" i="6"/>
  <c r="B4" i="6"/>
  <c r="E6" i="7" l="1"/>
  <c r="C6" i="7"/>
  <c r="C5" i="7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5" i="5"/>
  <c r="D5" i="7" l="1"/>
  <c r="G5" i="7" s="1"/>
  <c r="D6" i="7"/>
  <c r="G6" i="7" s="1"/>
  <c r="C7" i="7"/>
  <c r="E7" i="7"/>
  <c r="B6" i="5"/>
  <c r="C6" i="5" s="1"/>
  <c r="C41" i="5"/>
  <c r="C5" i="5"/>
  <c r="C62" i="5"/>
  <c r="C59" i="5"/>
  <c r="D7" i="7" l="1"/>
  <c r="G7" i="7" s="1"/>
  <c r="C8" i="7"/>
  <c r="E8" i="7"/>
  <c r="E6" i="5"/>
  <c r="B7" i="5"/>
  <c r="D8" i="7" l="1"/>
  <c r="G8" i="7" s="1"/>
  <c r="C9" i="7"/>
  <c r="E9" i="7"/>
  <c r="B8" i="5"/>
  <c r="E8" i="5" s="1"/>
  <c r="C7" i="5"/>
  <c r="E7" i="5"/>
  <c r="D9" i="7" l="1"/>
  <c r="G9" i="7" s="1"/>
  <c r="C10" i="7"/>
  <c r="E10" i="7"/>
  <c r="B9" i="5"/>
  <c r="C8" i="5"/>
  <c r="D10" i="7" l="1"/>
  <c r="G10" i="7" s="1"/>
  <c r="C11" i="7"/>
  <c r="E11" i="7"/>
  <c r="C9" i="5"/>
  <c r="B10" i="5"/>
  <c r="E9" i="5"/>
  <c r="D11" i="7" l="1"/>
  <c r="G11" i="7" s="1"/>
  <c r="C12" i="7"/>
  <c r="E12" i="7"/>
  <c r="C10" i="5"/>
  <c r="B11" i="5"/>
  <c r="E10" i="5"/>
  <c r="D12" i="7" l="1"/>
  <c r="G12" i="7" s="1"/>
  <c r="C13" i="7"/>
  <c r="E13" i="7"/>
  <c r="C11" i="5"/>
  <c r="B12" i="5"/>
  <c r="E11" i="5"/>
  <c r="D13" i="7" l="1"/>
  <c r="G13" i="7" s="1"/>
  <c r="C14" i="7"/>
  <c r="E14" i="7"/>
  <c r="C12" i="5"/>
  <c r="E12" i="5"/>
  <c r="B13" i="5"/>
  <c r="D14" i="7" l="1"/>
  <c r="G14" i="7" s="1"/>
  <c r="C15" i="7"/>
  <c r="E15" i="7"/>
  <c r="C13" i="5"/>
  <c r="B14" i="5"/>
  <c r="E13" i="5"/>
  <c r="D15" i="7" l="1"/>
  <c r="G15" i="7" s="1"/>
  <c r="C16" i="7"/>
  <c r="E16" i="7"/>
  <c r="C14" i="5"/>
  <c r="B15" i="5"/>
  <c r="E14" i="5"/>
  <c r="D16" i="7" l="1"/>
  <c r="G16" i="7" s="1"/>
  <c r="C17" i="7"/>
  <c r="E17" i="7"/>
  <c r="C15" i="5"/>
  <c r="B16" i="5"/>
  <c r="E15" i="5"/>
  <c r="D17" i="7" l="1"/>
  <c r="G17" i="7" s="1"/>
  <c r="C18" i="7"/>
  <c r="E18" i="7"/>
  <c r="C16" i="5"/>
  <c r="B17" i="5"/>
  <c r="E16" i="5"/>
  <c r="D18" i="7" l="1"/>
  <c r="G18" i="7" s="1"/>
  <c r="C19" i="7"/>
  <c r="E19" i="7"/>
  <c r="C17" i="5"/>
  <c r="B18" i="5"/>
  <c r="E17" i="5"/>
  <c r="D19" i="7" l="1"/>
  <c r="G19" i="7" s="1"/>
  <c r="C20" i="7"/>
  <c r="E20" i="7"/>
  <c r="C18" i="5"/>
  <c r="B19" i="5"/>
  <c r="E18" i="5"/>
  <c r="D20" i="7" l="1"/>
  <c r="G20" i="7" s="1"/>
  <c r="C21" i="7"/>
  <c r="E21" i="7"/>
  <c r="C19" i="5"/>
  <c r="B20" i="5"/>
  <c r="E19" i="5"/>
  <c r="D21" i="7" l="1"/>
  <c r="G21" i="7" s="1"/>
  <c r="C22" i="7"/>
  <c r="E22" i="7"/>
  <c r="C20" i="5"/>
  <c r="B21" i="5"/>
  <c r="E20" i="5"/>
  <c r="D22" i="7" l="1"/>
  <c r="G22" i="7" s="1"/>
  <c r="C23" i="7"/>
  <c r="E23" i="7"/>
  <c r="C21" i="5"/>
  <c r="B22" i="5"/>
  <c r="E21" i="5"/>
  <c r="D23" i="7" l="1"/>
  <c r="G23" i="7" s="1"/>
  <c r="C24" i="7"/>
  <c r="E24" i="7"/>
  <c r="C22" i="5"/>
  <c r="B23" i="5"/>
  <c r="E22" i="5"/>
  <c r="D24" i="7" l="1"/>
  <c r="G24" i="7" s="1"/>
  <c r="C25" i="7"/>
  <c r="E25" i="7"/>
  <c r="C23" i="5"/>
  <c r="B24" i="5"/>
  <c r="E23" i="5"/>
  <c r="D25" i="7" l="1"/>
  <c r="G25" i="7" s="1"/>
  <c r="C26" i="7"/>
  <c r="E26" i="7"/>
  <c r="C24" i="5"/>
  <c r="B25" i="5"/>
  <c r="E24" i="5"/>
  <c r="D26" i="7" l="1"/>
  <c r="G26" i="7" s="1"/>
  <c r="C27" i="7"/>
  <c r="E27" i="7"/>
  <c r="C25" i="5"/>
  <c r="B26" i="5"/>
  <c r="E25" i="5"/>
  <c r="D27" i="7" l="1"/>
  <c r="G27" i="7" s="1"/>
  <c r="C28" i="7"/>
  <c r="E28" i="7"/>
  <c r="C26" i="5"/>
  <c r="B27" i="5"/>
  <c r="E26" i="5"/>
  <c r="D28" i="7" l="1"/>
  <c r="G28" i="7" s="1"/>
  <c r="C29" i="7"/>
  <c r="E29" i="7"/>
  <c r="C27" i="5"/>
  <c r="B28" i="5"/>
  <c r="E27" i="5"/>
  <c r="D29" i="7" l="1"/>
  <c r="D31" i="7" s="1"/>
  <c r="C50" i="7" s="1"/>
  <c r="C28" i="5"/>
  <c r="B29" i="5"/>
  <c r="E28" i="5"/>
  <c r="C33" i="7" l="1"/>
  <c r="C35" i="7" s="1"/>
  <c r="C51" i="7" s="1"/>
  <c r="C52" i="7" s="1"/>
  <c r="C45" i="7"/>
  <c r="C47" i="7" s="1"/>
  <c r="G29" i="7"/>
  <c r="G31" i="7" s="1"/>
  <c r="C29" i="5"/>
  <c r="B30" i="5"/>
  <c r="E29" i="5"/>
  <c r="C30" i="5" l="1"/>
  <c r="B31" i="5"/>
  <c r="E30" i="5"/>
  <c r="C31" i="5" l="1"/>
  <c r="B32" i="5"/>
  <c r="E31" i="5"/>
  <c r="C32" i="5" l="1"/>
  <c r="B33" i="5"/>
  <c r="E32" i="5"/>
  <c r="C33" i="5" l="1"/>
  <c r="B34" i="5"/>
  <c r="E33" i="5"/>
  <c r="C34" i="5" l="1"/>
  <c r="B35" i="5"/>
  <c r="E34" i="5"/>
  <c r="C35" i="5" l="1"/>
  <c r="B36" i="5"/>
  <c r="E35" i="5"/>
  <c r="B37" i="5" l="1"/>
  <c r="C36" i="5"/>
  <c r="E36" i="5"/>
  <c r="C53" i="7" l="1"/>
  <c r="C34" i="7"/>
  <c r="C37" i="5"/>
  <c r="E37" i="5"/>
  <c r="B38" i="5"/>
  <c r="C54" i="7" l="1"/>
  <c r="C56" i="7" s="1"/>
  <c r="C58" i="7" s="1"/>
  <c r="C59" i="7" s="1"/>
  <c r="C75" i="5"/>
  <c r="C71" i="5" s="1"/>
  <c r="C72" i="5" s="1"/>
  <c r="C38" i="5"/>
  <c r="E38" i="5"/>
  <c r="C57" i="7" l="1"/>
  <c r="C40" i="5"/>
  <c r="C42" i="5" s="1"/>
  <c r="D9" i="5" l="1"/>
  <c r="D6" i="5"/>
  <c r="D5" i="5"/>
  <c r="G5" i="5" s="1"/>
  <c r="D7" i="5"/>
  <c r="D8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F37" i="5" l="1"/>
  <c r="G37" i="5"/>
  <c r="F33" i="5"/>
  <c r="G33" i="5"/>
  <c r="F29" i="5"/>
  <c r="G29" i="5"/>
  <c r="F25" i="5"/>
  <c r="G25" i="5"/>
  <c r="F21" i="5"/>
  <c r="G21" i="5"/>
  <c r="F17" i="5"/>
  <c r="G17" i="5"/>
  <c r="F13" i="5"/>
  <c r="G13" i="5"/>
  <c r="F8" i="5"/>
  <c r="G8" i="5"/>
  <c r="F9" i="5"/>
  <c r="G9" i="5"/>
  <c r="F36" i="5"/>
  <c r="G36" i="5"/>
  <c r="F32" i="5"/>
  <c r="G32" i="5"/>
  <c r="F28" i="5"/>
  <c r="G28" i="5"/>
  <c r="F24" i="5"/>
  <c r="G24" i="5"/>
  <c r="F20" i="5"/>
  <c r="G20" i="5"/>
  <c r="F16" i="5"/>
  <c r="G16" i="5"/>
  <c r="F12" i="5"/>
  <c r="G12" i="5"/>
  <c r="F7" i="5"/>
  <c r="G7" i="5"/>
  <c r="F35" i="5"/>
  <c r="G35" i="5"/>
  <c r="F31" i="5"/>
  <c r="G31" i="5"/>
  <c r="F27" i="5"/>
  <c r="G27" i="5"/>
  <c r="F23" i="5"/>
  <c r="G23" i="5"/>
  <c r="F19" i="5"/>
  <c r="G19" i="5"/>
  <c r="F15" i="5"/>
  <c r="G15" i="5"/>
  <c r="F11" i="5"/>
  <c r="G11" i="5"/>
  <c r="F38" i="5"/>
  <c r="G38" i="5"/>
  <c r="F34" i="5"/>
  <c r="G34" i="5"/>
  <c r="F30" i="5"/>
  <c r="G30" i="5"/>
  <c r="F26" i="5"/>
  <c r="G26" i="5"/>
  <c r="F22" i="5"/>
  <c r="G22" i="5"/>
  <c r="F18" i="5"/>
  <c r="G18" i="5"/>
  <c r="F14" i="5"/>
  <c r="G14" i="5"/>
  <c r="F10" i="5"/>
  <c r="G10" i="5"/>
  <c r="F6" i="5"/>
  <c r="G6" i="5"/>
  <c r="D40" i="5"/>
  <c r="C44" i="5" l="1"/>
  <c r="C63" i="5"/>
  <c r="C58" i="5"/>
  <c r="C60" i="5" s="1"/>
  <c r="C45" i="5" l="1"/>
  <c r="C46" i="5"/>
  <c r="C64" i="5" s="1"/>
  <c r="C66" i="5" s="1"/>
  <c r="C67" i="5" s="1"/>
  <c r="C77" i="5" s="1"/>
  <c r="C65" i="5" l="1"/>
</calcChain>
</file>

<file path=xl/sharedStrings.xml><?xml version="1.0" encoding="utf-8"?>
<sst xmlns="http://schemas.openxmlformats.org/spreadsheetml/2006/main" count="92" uniqueCount="61">
  <si>
    <t>N</t>
  </si>
  <si>
    <t>Anzahl</t>
  </si>
  <si>
    <t>R [m]</t>
  </si>
  <si>
    <t>Umfang[m]</t>
  </si>
  <si>
    <t>dR [m]</t>
  </si>
  <si>
    <t>pro Ebene</t>
  </si>
  <si>
    <t>Abstand [m] der Ebenen</t>
  </si>
  <si>
    <t>Die Behälter sind 46 mm im Durchmesser und 139,1 mm hoch.</t>
  </si>
  <si>
    <t>Behälter insgesamt</t>
  </si>
  <si>
    <t>Die Wärmeproduktion ist dann wesentlich gleichmäßiger verteilt.</t>
  </si>
  <si>
    <t>[qm] Umgebungsfläche pro Behälter</t>
  </si>
  <si>
    <t>Anteil des Behältervolumens am Umgebungsvolumen</t>
  </si>
  <si>
    <t>Abstand der Behälter im Kreis</t>
  </si>
  <si>
    <t>Ebenen sind nötig für 4,75 Millionen Behälter</t>
  </si>
  <si>
    <t>[qm] Liegefläche jedes Behälters</t>
  </si>
  <si>
    <t>Anteil der Liegefläche an der Umgebungsfläche</t>
  </si>
  <si>
    <t>cm³ Behältervolumen</t>
  </si>
  <si>
    <t>m³  gesamtes Behältervolumen einer Schicht</t>
  </si>
  <si>
    <t>dm³ Umgebungsvolumen pro Behälter</t>
  </si>
  <si>
    <t>Anzahl Behälter pro m³</t>
  </si>
  <si>
    <t>W   Wärmeentwicklung pro m³</t>
  </si>
  <si>
    <t>W   Wärmeentwicklung pro Behälter</t>
  </si>
  <si>
    <t>W   Wärmeentwicklung in der ganzen Säule</t>
  </si>
  <si>
    <t>kW</t>
  </si>
  <si>
    <t>m³ gesamtes Volumen der Säule</t>
  </si>
  <si>
    <t>Anordnung von radioaktiven Behältern in einer
 800 m hohen Säule mit 19,4 m Durchmesser.</t>
  </si>
  <si>
    <t>Zuwachs Anzahl</t>
  </si>
  <si>
    <t>Die Kreise sind jeweils rund 28,2 cm größer als der nächste innere Kreis.</t>
  </si>
  <si>
    <t>Legt man die Behälter tangential mit 48,1 mm Abstand, so passen U/(0,046+0,0487) Behälter in einen Kreis</t>
  </si>
  <si>
    <t>Der freie Abstand der Behälter in jedem Kreis ist im Mittel 4,8 cm.</t>
  </si>
  <si>
    <t>So ist der radiale und der tangentiale Abstand sehr verschieden und viel zu gering, um noch einen Fuss dazwischen zu stellen.</t>
  </si>
  <si>
    <t>Der Abstand der Ebenen beträgt 1,923 m.</t>
  </si>
  <si>
    <t>m³ Umgebungsvolumen einer Schicht</t>
  </si>
  <si>
    <t>Vorgaben</t>
  </si>
  <si>
    <t>Höhe</t>
  </si>
  <si>
    <t>m</t>
  </si>
  <si>
    <t>Durchmesser</t>
  </si>
  <si>
    <t>Volumen der Säule</t>
  </si>
  <si>
    <t>m³</t>
  </si>
  <si>
    <t>Anzahl Behälter</t>
  </si>
  <si>
    <t>Gesamte Wärme(t=0)</t>
  </si>
  <si>
    <t>MW</t>
  </si>
  <si>
    <t>Wärme pro Behälter</t>
  </si>
  <si>
    <t>W pro Behälter</t>
  </si>
  <si>
    <t>Quellstärke = Q/V</t>
  </si>
  <si>
    <t>W/m³</t>
  </si>
  <si>
    <t>dm³</t>
  </si>
  <si>
    <t>Würfel kantenlänge</t>
  </si>
  <si>
    <t>Wenn alle Ebenen 36,8 cm auseinander sind</t>
  </si>
  <si>
    <t>Anzahl Ebenen</t>
  </si>
  <si>
    <t xml:space="preserve">dm </t>
  </si>
  <si>
    <t>Abstand der Ebenen</t>
  </si>
  <si>
    <t>Anzahl Behälte pro Ebene</t>
  </si>
  <si>
    <t>dU [m]</t>
  </si>
  <si>
    <t>Die Kreise sind jeweils rund 37,4 cm größer als der nächste innere Kreis.</t>
  </si>
  <si>
    <t>Im Kreis sind die Behälter ebenfalls im Mittel 37,4 cm auseinander</t>
  </si>
  <si>
    <t>Die Ebenen sind 36,9 cm auseinander.</t>
  </si>
  <si>
    <t>Volumen um einen Behälter</t>
  </si>
  <si>
    <t>Mit diesen Zahlen rechne ich weiter im nächsten Arbeitsblatt.</t>
  </si>
  <si>
    <t>freier Abstand tangential</t>
  </si>
  <si>
    <t>freier Abstand radial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</si>
</sst>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00"/>
    <numFmt numFmtId="168" formatCode="#,##0.0000"/>
    <numFmt numFmtId="169" formatCode="#,##0.000000"/>
  </numFmts>
  <fonts count="1" x14ac:knownFonts="1"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Font="1"/>
    <xf numFmtId="11" fontId="0" fillId="0" borderId="0" xfId="0" applyNumberFormat="1"/>
    <xf numFmtId="0" fontId="0" fillId="0" borderId="0" xfId="0" applyFont="1" applyBorder="1" applyAlignment="1">
      <alignment horizontal="left"/>
    </xf>
    <xf numFmtId="167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168" fontId="0" fillId="0" borderId="0" xfId="0" applyNumberFormat="1"/>
    <xf numFmtId="169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Border="1" applyAlignment="1">
      <alignment horizontal="left"/>
    </xf>
    <xf numFmtId="0" fontId="0" fillId="2" borderId="0" xfId="0" applyFill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 vertical="center" wrapText="1"/>
    </xf>
    <xf numFmtId="11" fontId="0" fillId="0" borderId="0" xfId="0" applyNumberFormat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168" fontId="0" fillId="0" borderId="0" xfId="0" applyNumberFormat="1" applyFont="1"/>
    <xf numFmtId="165" fontId="0" fillId="2" borderId="0" xfId="0" applyNumberFormat="1" applyFill="1"/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8" sqref="B8"/>
    </sheetView>
  </sheetViews>
  <sheetFormatPr baseColWidth="10" defaultRowHeight="14.5" x14ac:dyDescent="0.35"/>
  <cols>
    <col min="1" max="1" width="22.36328125" bestFit="1" customWidth="1"/>
    <col min="2" max="2" width="8.26953125" bestFit="1" customWidth="1"/>
  </cols>
  <sheetData>
    <row r="1" spans="1:3" x14ac:dyDescent="0.35">
      <c r="A1" t="s">
        <v>33</v>
      </c>
    </row>
    <row r="2" spans="1:3" x14ac:dyDescent="0.35">
      <c r="A2" t="s">
        <v>34</v>
      </c>
      <c r="B2">
        <v>800</v>
      </c>
      <c r="C2" t="s">
        <v>35</v>
      </c>
    </row>
    <row r="3" spans="1:3" x14ac:dyDescent="0.35">
      <c r="A3" t="s">
        <v>36</v>
      </c>
      <c r="B3">
        <v>19.399999999999999</v>
      </c>
      <c r="C3" t="s">
        <v>35</v>
      </c>
    </row>
    <row r="4" spans="1:3" x14ac:dyDescent="0.35">
      <c r="A4" t="s">
        <v>37</v>
      </c>
      <c r="B4" s="1">
        <f>B2*PI()/4*B3^2</f>
        <v>236473.96222101088</v>
      </c>
      <c r="C4" t="s">
        <v>38</v>
      </c>
    </row>
    <row r="6" spans="1:3" x14ac:dyDescent="0.35">
      <c r="A6" t="s">
        <v>39</v>
      </c>
      <c r="B6" s="6">
        <v>4750000</v>
      </c>
    </row>
    <row r="7" spans="1:3" x14ac:dyDescent="0.35">
      <c r="A7" t="s">
        <v>40</v>
      </c>
      <c r="B7">
        <v>20.475000000000001</v>
      </c>
      <c r="C7" t="s">
        <v>41</v>
      </c>
    </row>
    <row r="8" spans="1:3" x14ac:dyDescent="0.35">
      <c r="A8" t="s">
        <v>42</v>
      </c>
      <c r="B8" s="4">
        <f>B7*1000000/B6</f>
        <v>4.310526315789474</v>
      </c>
      <c r="C8" t="s">
        <v>43</v>
      </c>
    </row>
    <row r="9" spans="1:3" x14ac:dyDescent="0.35">
      <c r="A9" t="s">
        <v>44</v>
      </c>
      <c r="B9" s="3">
        <f>B7*1000000/B4</f>
        <v>86.584585498101745</v>
      </c>
      <c r="C9" t="s">
        <v>45</v>
      </c>
    </row>
    <row r="11" spans="1:3" x14ac:dyDescent="0.35">
      <c r="A11" s="24" t="s">
        <v>57</v>
      </c>
      <c r="B11" s="6">
        <f>B4/B6</f>
        <v>4.9783992046528606E-2</v>
      </c>
      <c r="C11" t="s">
        <v>38</v>
      </c>
    </row>
    <row r="12" spans="1:3" x14ac:dyDescent="0.35">
      <c r="A12" s="24"/>
      <c r="B12" s="2">
        <f>B11*1000</f>
        <v>49.78399204652861</v>
      </c>
      <c r="C12" t="s">
        <v>46</v>
      </c>
    </row>
    <row r="13" spans="1:3" x14ac:dyDescent="0.35">
      <c r="A13" t="s">
        <v>47</v>
      </c>
      <c r="B13" s="4">
        <f>B12^(1/3)</f>
        <v>3.6787186397840124</v>
      </c>
      <c r="C13" t="s">
        <v>50</v>
      </c>
    </row>
    <row r="15" spans="1:3" x14ac:dyDescent="0.35">
      <c r="A15" s="21" t="s">
        <v>48</v>
      </c>
      <c r="B15" s="21"/>
      <c r="C15" s="21"/>
    </row>
    <row r="16" spans="1:3" x14ac:dyDescent="0.35">
      <c r="A16" t="s">
        <v>49</v>
      </c>
      <c r="B16" s="3">
        <f>B2/(B13*0.1)</f>
        <v>2174.6702543333677</v>
      </c>
    </row>
    <row r="17" spans="1:3" x14ac:dyDescent="0.35">
      <c r="B17" s="3">
        <f>ROUND(B16+0.5,0)</f>
        <v>2175</v>
      </c>
    </row>
    <row r="18" spans="1:3" x14ac:dyDescent="0.35">
      <c r="A18" t="s">
        <v>51</v>
      </c>
      <c r="B18" s="4">
        <f>B2/B17</f>
        <v>0.36781609195402298</v>
      </c>
      <c r="C18" t="s">
        <v>35</v>
      </c>
    </row>
    <row r="19" spans="1:3" x14ac:dyDescent="0.35">
      <c r="A19" t="s">
        <v>52</v>
      </c>
      <c r="B19" s="3">
        <f>B6/B17</f>
        <v>2183.9080459770116</v>
      </c>
    </row>
    <row r="20" spans="1:3" x14ac:dyDescent="0.35">
      <c r="B20" s="3">
        <f>ROUND(B19+0.5,0)</f>
        <v>2184</v>
      </c>
    </row>
    <row r="22" spans="1:3" x14ac:dyDescent="0.35">
      <c r="A22" t="s">
        <v>58</v>
      </c>
    </row>
  </sheetData>
  <mergeCells count="2">
    <mergeCell ref="A15:C15"/>
    <mergeCell ref="A11:A1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45" zoomScaleNormal="100" workbookViewId="0">
      <selection activeCell="K51" sqref="K51"/>
    </sheetView>
  </sheetViews>
  <sheetFormatPr baseColWidth="10" defaultColWidth="10.453125" defaultRowHeight="14.5" x14ac:dyDescent="0.35"/>
  <cols>
    <col min="1" max="1" width="4.54296875" style="9" customWidth="1"/>
    <col min="2" max="2" width="6.6328125" style="9" customWidth="1"/>
    <col min="3" max="3" width="9.81640625" style="9" customWidth="1"/>
    <col min="4" max="4" width="9.26953125" style="9" customWidth="1"/>
    <col min="5" max="5" width="7" style="9" customWidth="1"/>
    <col min="6" max="6" width="10.453125" style="9"/>
    <col min="7" max="7" width="7.1796875" style="9" customWidth="1"/>
    <col min="8" max="16384" width="10.453125" style="9"/>
  </cols>
  <sheetData>
    <row r="1" spans="1:7" ht="14.25" customHeight="1" x14ac:dyDescent="0.35">
      <c r="A1" s="18" t="s">
        <v>25</v>
      </c>
      <c r="B1" s="18"/>
      <c r="C1" s="18"/>
      <c r="D1" s="18"/>
      <c r="E1" s="18"/>
      <c r="F1" s="18"/>
    </row>
    <row r="2" spans="1:7" x14ac:dyDescent="0.35">
      <c r="A2" s="18"/>
      <c r="B2" s="18"/>
      <c r="C2" s="18"/>
      <c r="D2" s="18"/>
      <c r="E2" s="18"/>
      <c r="F2" s="18"/>
    </row>
    <row r="3" spans="1:7" x14ac:dyDescent="0.35">
      <c r="B3" s="9">
        <v>0.374</v>
      </c>
      <c r="C3" s="8" t="s">
        <v>12</v>
      </c>
    </row>
    <row r="4" spans="1:7" x14ac:dyDescent="0.35">
      <c r="A4" s="9" t="s">
        <v>0</v>
      </c>
      <c r="B4" s="9" t="s">
        <v>2</v>
      </c>
      <c r="C4" s="9" t="s">
        <v>3</v>
      </c>
      <c r="D4" s="9" t="s">
        <v>1</v>
      </c>
      <c r="E4" s="9" t="s">
        <v>4</v>
      </c>
      <c r="G4" s="9" t="s">
        <v>53</v>
      </c>
    </row>
    <row r="5" spans="1:7" x14ac:dyDescent="0.35">
      <c r="A5" s="9">
        <v>1</v>
      </c>
      <c r="B5" s="8">
        <v>0.72399999999999998</v>
      </c>
      <c r="C5" s="3">
        <f t="shared" ref="C5:C29" si="0">B5*2*PI()</f>
        <v>4.5490261623980199</v>
      </c>
      <c r="D5" s="1">
        <f>ROUND(C5/B$3,0)</f>
        <v>12</v>
      </c>
      <c r="G5" s="3">
        <f>C5/D5</f>
        <v>0.37908551353316833</v>
      </c>
    </row>
    <row r="6" spans="1:7" x14ac:dyDescent="0.35">
      <c r="A6" s="9">
        <v>2</v>
      </c>
      <c r="B6" s="3">
        <f>B5+$B$3</f>
        <v>1.0979999999999999</v>
      </c>
      <c r="C6" s="3">
        <f t="shared" si="0"/>
        <v>6.8989374672831847</v>
      </c>
      <c r="D6" s="1">
        <f t="shared" ref="D6:D29" si="1">ROUND(C6/B$3,0)</f>
        <v>18</v>
      </c>
      <c r="E6" s="3">
        <f>B6-B5</f>
        <v>0.37399999999999989</v>
      </c>
      <c r="G6" s="3">
        <f>C6/D6</f>
        <v>0.38327430373795468</v>
      </c>
    </row>
    <row r="7" spans="1:7" x14ac:dyDescent="0.35">
      <c r="A7" s="9">
        <v>3</v>
      </c>
      <c r="B7" s="3">
        <f t="shared" ref="B7:B29" si="2">B6+$B$3</f>
        <v>1.472</v>
      </c>
      <c r="C7" s="3">
        <f t="shared" si="0"/>
        <v>9.2488487721683512</v>
      </c>
      <c r="D7" s="1">
        <f t="shared" si="1"/>
        <v>25</v>
      </c>
      <c r="E7" s="3">
        <f t="shared" ref="E7:E29" si="3">B7-B6</f>
        <v>0.37400000000000011</v>
      </c>
      <c r="G7" s="3">
        <f>C7/D7</f>
        <v>0.36995395088673405</v>
      </c>
    </row>
    <row r="8" spans="1:7" x14ac:dyDescent="0.35">
      <c r="A8" s="9">
        <v>4</v>
      </c>
      <c r="B8" s="3">
        <f t="shared" si="2"/>
        <v>1.8460000000000001</v>
      </c>
      <c r="C8" s="3">
        <f t="shared" si="0"/>
        <v>11.598760077053516</v>
      </c>
      <c r="D8" s="1">
        <f t="shared" si="1"/>
        <v>31</v>
      </c>
      <c r="E8" s="3">
        <f t="shared" si="3"/>
        <v>0.37400000000000011</v>
      </c>
      <c r="G8" s="3">
        <f>C8/D8</f>
        <v>0.37415355087269409</v>
      </c>
    </row>
    <row r="9" spans="1:7" x14ac:dyDescent="0.35">
      <c r="A9" s="9">
        <v>5</v>
      </c>
      <c r="B9" s="3">
        <f t="shared" si="2"/>
        <v>2.2200000000000002</v>
      </c>
      <c r="C9" s="3">
        <f t="shared" si="0"/>
        <v>13.948671381938683</v>
      </c>
      <c r="D9" s="1">
        <f t="shared" si="1"/>
        <v>37</v>
      </c>
      <c r="E9" s="3">
        <f t="shared" si="3"/>
        <v>0.37400000000000011</v>
      </c>
      <c r="G9" s="3">
        <f>C9/D9</f>
        <v>0.37699111843077521</v>
      </c>
    </row>
    <row r="10" spans="1:7" x14ac:dyDescent="0.35">
      <c r="A10" s="9">
        <v>6</v>
      </c>
      <c r="B10" s="3">
        <f t="shared" si="2"/>
        <v>2.5940000000000003</v>
      </c>
      <c r="C10" s="3">
        <f t="shared" si="0"/>
        <v>16.298582686823849</v>
      </c>
      <c r="D10" s="1">
        <f t="shared" si="1"/>
        <v>44</v>
      </c>
      <c r="E10" s="3">
        <f t="shared" si="3"/>
        <v>0.37400000000000011</v>
      </c>
      <c r="G10" s="3">
        <f>C10/D10</f>
        <v>0.37042233379145112</v>
      </c>
    </row>
    <row r="11" spans="1:7" x14ac:dyDescent="0.35">
      <c r="A11" s="9">
        <v>7</v>
      </c>
      <c r="B11" s="3">
        <f t="shared" si="2"/>
        <v>2.9680000000000004</v>
      </c>
      <c r="C11" s="3">
        <f t="shared" si="0"/>
        <v>18.648493991709014</v>
      </c>
      <c r="D11" s="1">
        <f t="shared" si="1"/>
        <v>50</v>
      </c>
      <c r="E11" s="3">
        <f t="shared" si="3"/>
        <v>0.37400000000000011</v>
      </c>
      <c r="G11" s="3">
        <f>C11/D11</f>
        <v>0.37296987983418028</v>
      </c>
    </row>
    <row r="12" spans="1:7" x14ac:dyDescent="0.35">
      <c r="A12" s="9">
        <v>8</v>
      </c>
      <c r="B12" s="3">
        <f t="shared" si="2"/>
        <v>3.3420000000000005</v>
      </c>
      <c r="C12" s="3">
        <f t="shared" si="0"/>
        <v>20.998405296594182</v>
      </c>
      <c r="D12" s="1">
        <f t="shared" si="1"/>
        <v>56</v>
      </c>
      <c r="E12" s="3">
        <f t="shared" si="3"/>
        <v>0.37400000000000011</v>
      </c>
      <c r="G12" s="3">
        <f>C12/D12</f>
        <v>0.37497152315346755</v>
      </c>
    </row>
    <row r="13" spans="1:7" x14ac:dyDescent="0.35">
      <c r="A13" s="9">
        <v>9</v>
      </c>
      <c r="B13" s="3">
        <f t="shared" si="2"/>
        <v>3.7160000000000006</v>
      </c>
      <c r="C13" s="3">
        <f t="shared" si="0"/>
        <v>23.348316601479347</v>
      </c>
      <c r="D13" s="1">
        <f t="shared" si="1"/>
        <v>62</v>
      </c>
      <c r="E13" s="3">
        <f t="shared" si="3"/>
        <v>0.37400000000000011</v>
      </c>
      <c r="G13" s="3">
        <f>C13/D13</f>
        <v>0.37658575163676367</v>
      </c>
    </row>
    <row r="14" spans="1:7" x14ac:dyDescent="0.35">
      <c r="A14" s="9">
        <v>10</v>
      </c>
      <c r="B14" s="3">
        <f t="shared" si="2"/>
        <v>4.0900000000000007</v>
      </c>
      <c r="C14" s="3">
        <f t="shared" si="0"/>
        <v>25.698227906364512</v>
      </c>
      <c r="D14" s="1">
        <f t="shared" si="1"/>
        <v>69</v>
      </c>
      <c r="E14" s="3">
        <f t="shared" si="3"/>
        <v>0.37400000000000011</v>
      </c>
      <c r="G14" s="3">
        <f>C14/D14</f>
        <v>0.37243808559948566</v>
      </c>
    </row>
    <row r="15" spans="1:7" x14ac:dyDescent="0.35">
      <c r="A15" s="9">
        <v>11</v>
      </c>
      <c r="B15" s="3">
        <f t="shared" si="2"/>
        <v>4.4640000000000004</v>
      </c>
      <c r="C15" s="3">
        <f t="shared" si="0"/>
        <v>28.048139211249676</v>
      </c>
      <c r="D15" s="1">
        <f t="shared" si="1"/>
        <v>75</v>
      </c>
      <c r="E15" s="3">
        <f t="shared" si="3"/>
        <v>0.37399999999999967</v>
      </c>
      <c r="G15" s="3">
        <f>C15/D15</f>
        <v>0.37397518948332903</v>
      </c>
    </row>
    <row r="16" spans="1:7" x14ac:dyDescent="0.35">
      <c r="A16" s="9">
        <v>12</v>
      </c>
      <c r="B16" s="3">
        <f t="shared" si="2"/>
        <v>4.8380000000000001</v>
      </c>
      <c r="C16" s="3">
        <f t="shared" si="0"/>
        <v>30.398050516134838</v>
      </c>
      <c r="D16" s="1">
        <f t="shared" si="1"/>
        <v>81</v>
      </c>
      <c r="E16" s="3">
        <f t="shared" si="3"/>
        <v>0.37399999999999967</v>
      </c>
      <c r="G16" s="3">
        <f>C16/D16</f>
        <v>0.37528457427326961</v>
      </c>
    </row>
    <row r="17" spans="1:7" x14ac:dyDescent="0.35">
      <c r="A17" s="9">
        <v>13</v>
      </c>
      <c r="B17" s="3">
        <f t="shared" si="2"/>
        <v>5.2119999999999997</v>
      </c>
      <c r="C17" s="3">
        <f t="shared" si="0"/>
        <v>32.747961821019999</v>
      </c>
      <c r="D17" s="1">
        <f t="shared" si="1"/>
        <v>88</v>
      </c>
      <c r="E17" s="3">
        <f t="shared" si="3"/>
        <v>0.37399999999999967</v>
      </c>
      <c r="G17" s="3">
        <f>C17/D17</f>
        <v>0.37213592978431814</v>
      </c>
    </row>
    <row r="18" spans="1:7" x14ac:dyDescent="0.35">
      <c r="A18" s="9">
        <v>14</v>
      </c>
      <c r="B18" s="3">
        <f t="shared" si="2"/>
        <v>5.5859999999999994</v>
      </c>
      <c r="C18" s="3">
        <f t="shared" si="0"/>
        <v>35.097873125905167</v>
      </c>
      <c r="D18" s="1">
        <f t="shared" si="1"/>
        <v>94</v>
      </c>
      <c r="E18" s="3">
        <f t="shared" si="3"/>
        <v>0.37399999999999967</v>
      </c>
      <c r="G18" s="3">
        <f>C18/D18</f>
        <v>0.37338162899899113</v>
      </c>
    </row>
    <row r="19" spans="1:7" x14ac:dyDescent="0.35">
      <c r="A19" s="9">
        <v>15</v>
      </c>
      <c r="B19" s="3">
        <f t="shared" si="2"/>
        <v>5.9599999999999991</v>
      </c>
      <c r="C19" s="3">
        <f t="shared" si="0"/>
        <v>37.447784430790328</v>
      </c>
      <c r="D19" s="1">
        <f t="shared" si="1"/>
        <v>100</v>
      </c>
      <c r="E19" s="3">
        <f t="shared" si="3"/>
        <v>0.37399999999999967</v>
      </c>
      <c r="G19" s="3">
        <f>C19/D19</f>
        <v>0.37447784430790326</v>
      </c>
    </row>
    <row r="20" spans="1:7" x14ac:dyDescent="0.35">
      <c r="A20" s="9">
        <v>16</v>
      </c>
      <c r="B20" s="3">
        <f t="shared" si="2"/>
        <v>6.3339999999999987</v>
      </c>
      <c r="C20" s="3">
        <f t="shared" si="0"/>
        <v>39.797695735675489</v>
      </c>
      <c r="D20" s="1">
        <f t="shared" si="1"/>
        <v>106</v>
      </c>
      <c r="E20" s="3">
        <f t="shared" si="3"/>
        <v>0.37399999999999967</v>
      </c>
      <c r="G20" s="3">
        <f>C20/D20</f>
        <v>0.37544995977052348</v>
      </c>
    </row>
    <row r="21" spans="1:7" x14ac:dyDescent="0.35">
      <c r="A21" s="9">
        <v>17</v>
      </c>
      <c r="B21" s="3">
        <f t="shared" si="2"/>
        <v>6.7079999999999984</v>
      </c>
      <c r="C21" s="3">
        <f t="shared" si="0"/>
        <v>42.147607040560658</v>
      </c>
      <c r="D21" s="1">
        <f t="shared" si="1"/>
        <v>113</v>
      </c>
      <c r="E21" s="3">
        <f t="shared" si="3"/>
        <v>0.37399999999999967</v>
      </c>
      <c r="G21" s="3">
        <f>C21/D21</f>
        <v>0.37298767292531554</v>
      </c>
    </row>
    <row r="22" spans="1:7" x14ac:dyDescent="0.35">
      <c r="A22" s="9">
        <v>18</v>
      </c>
      <c r="B22" s="3">
        <f t="shared" si="2"/>
        <v>7.0819999999999981</v>
      </c>
      <c r="C22" s="3">
        <f t="shared" si="0"/>
        <v>44.497518345445819</v>
      </c>
      <c r="D22" s="1">
        <f t="shared" si="1"/>
        <v>119</v>
      </c>
      <c r="E22" s="3">
        <f t="shared" si="3"/>
        <v>0.37399999999999967</v>
      </c>
      <c r="G22" s="3">
        <f>C22/D22</f>
        <v>0.37392872559198165</v>
      </c>
    </row>
    <row r="23" spans="1:7" x14ac:dyDescent="0.35">
      <c r="A23" s="9">
        <v>19</v>
      </c>
      <c r="B23" s="3">
        <f t="shared" si="2"/>
        <v>7.4559999999999977</v>
      </c>
      <c r="C23" s="3">
        <f t="shared" si="0"/>
        <v>46.84742965033098</v>
      </c>
      <c r="D23" s="1">
        <f t="shared" si="1"/>
        <v>125</v>
      </c>
      <c r="E23" s="3">
        <f t="shared" si="3"/>
        <v>0.37399999999999967</v>
      </c>
      <c r="G23" s="3">
        <f>C23/D23</f>
        <v>0.37477943720264784</v>
      </c>
    </row>
    <row r="24" spans="1:7" x14ac:dyDescent="0.35">
      <c r="A24" s="9">
        <v>20</v>
      </c>
      <c r="B24" s="3">
        <f t="shared" si="2"/>
        <v>7.8299999999999974</v>
      </c>
      <c r="C24" s="3">
        <f t="shared" si="0"/>
        <v>49.197340955216141</v>
      </c>
      <c r="D24" s="1">
        <f t="shared" si="1"/>
        <v>132</v>
      </c>
      <c r="E24" s="3">
        <f t="shared" si="3"/>
        <v>0.37399999999999967</v>
      </c>
      <c r="G24" s="3">
        <f>C24/D24</f>
        <v>0.37270712844860715</v>
      </c>
    </row>
    <row r="25" spans="1:7" x14ac:dyDescent="0.35">
      <c r="A25" s="9">
        <v>21</v>
      </c>
      <c r="B25" s="3">
        <f t="shared" si="2"/>
        <v>8.2039999999999971</v>
      </c>
      <c r="C25" s="3">
        <f t="shared" si="0"/>
        <v>51.54725226010131</v>
      </c>
      <c r="D25" s="1">
        <f t="shared" si="1"/>
        <v>138</v>
      </c>
      <c r="E25" s="3">
        <f t="shared" si="3"/>
        <v>0.37399999999999967</v>
      </c>
      <c r="G25" s="3">
        <f>C25/D25</f>
        <v>0.37353081347899497</v>
      </c>
    </row>
    <row r="26" spans="1:7" x14ac:dyDescent="0.35">
      <c r="A26" s="9">
        <v>22</v>
      </c>
      <c r="B26" s="3">
        <f t="shared" si="2"/>
        <v>8.5779999999999976</v>
      </c>
      <c r="C26" s="3">
        <f t="shared" si="0"/>
        <v>53.897163564986478</v>
      </c>
      <c r="D26" s="1">
        <f t="shared" si="1"/>
        <v>144</v>
      </c>
      <c r="E26" s="3">
        <f t="shared" si="3"/>
        <v>0.37400000000000055</v>
      </c>
      <c r="G26" s="3">
        <f>C26/D26</f>
        <v>0.37428585809018389</v>
      </c>
    </row>
    <row r="27" spans="1:7" x14ac:dyDescent="0.35">
      <c r="A27" s="9">
        <v>23</v>
      </c>
      <c r="B27" s="3">
        <f t="shared" si="2"/>
        <v>8.9519999999999982</v>
      </c>
      <c r="C27" s="3">
        <f t="shared" si="0"/>
        <v>56.247074869871646</v>
      </c>
      <c r="D27" s="1">
        <f t="shared" si="1"/>
        <v>150</v>
      </c>
      <c r="E27" s="3">
        <f t="shared" si="3"/>
        <v>0.37400000000000055</v>
      </c>
      <c r="G27" s="3">
        <f>C27/D27</f>
        <v>0.37498049913247766</v>
      </c>
    </row>
    <row r="28" spans="1:7" x14ac:dyDescent="0.35">
      <c r="A28" s="9">
        <v>24</v>
      </c>
      <c r="B28" s="3">
        <f t="shared" si="2"/>
        <v>9.3259999999999987</v>
      </c>
      <c r="C28" s="3">
        <f t="shared" si="0"/>
        <v>58.596986174756815</v>
      </c>
      <c r="D28" s="1">
        <f t="shared" si="1"/>
        <v>157</v>
      </c>
      <c r="E28" s="3">
        <f t="shared" si="3"/>
        <v>0.37400000000000055</v>
      </c>
      <c r="G28" s="3">
        <f>C28/D28</f>
        <v>0.37322921130418352</v>
      </c>
    </row>
    <row r="29" spans="1:7" x14ac:dyDescent="0.35">
      <c r="A29" s="9">
        <v>25</v>
      </c>
      <c r="B29" s="3">
        <f t="shared" si="2"/>
        <v>9.6999999999999993</v>
      </c>
      <c r="C29" s="3">
        <f t="shared" si="0"/>
        <v>60.946897479641983</v>
      </c>
      <c r="D29" s="1">
        <f t="shared" si="1"/>
        <v>163</v>
      </c>
      <c r="E29" s="3">
        <f t="shared" si="3"/>
        <v>0.37400000000000055</v>
      </c>
      <c r="G29" s="3">
        <f>C29/D29</f>
        <v>0.37390734650087104</v>
      </c>
    </row>
    <row r="30" spans="1:7" x14ac:dyDescent="0.35">
      <c r="B30" s="8"/>
      <c r="C30" s="3"/>
      <c r="E30" s="3"/>
      <c r="F30" s="4"/>
      <c r="G30" s="3"/>
    </row>
    <row r="31" spans="1:7" x14ac:dyDescent="0.35">
      <c r="B31" s="2"/>
      <c r="D31" s="1">
        <f>SUM(D5:D29)</f>
        <v>2189</v>
      </c>
      <c r="E31" s="9" t="s">
        <v>5</v>
      </c>
      <c r="F31" s="2"/>
      <c r="G31" s="3">
        <f>AVERAGE(G5:G29)</f>
        <v>0.37439551323081088</v>
      </c>
    </row>
    <row r="33" spans="1:8" x14ac:dyDescent="0.35">
      <c r="A33" s="19">
        <v>4750000</v>
      </c>
      <c r="B33" s="19"/>
      <c r="C33" s="2">
        <f>ROUND(A33/D31,0)</f>
        <v>2170</v>
      </c>
      <c r="D33" s="9" t="s">
        <v>13</v>
      </c>
    </row>
    <row r="34" spans="1:8" x14ac:dyDescent="0.35">
      <c r="C34" s="9">
        <f>C33*D31</f>
        <v>4750130</v>
      </c>
      <c r="D34" s="9" t="s">
        <v>8</v>
      </c>
    </row>
    <row r="35" spans="1:8" x14ac:dyDescent="0.35">
      <c r="B35" s="9">
        <v>800</v>
      </c>
      <c r="C35" s="4">
        <f>B35/C33</f>
        <v>0.3686635944700461</v>
      </c>
      <c r="D35" s="9" t="s">
        <v>6</v>
      </c>
    </row>
    <row r="37" spans="1:8" x14ac:dyDescent="0.35">
      <c r="A37" s="21" t="s">
        <v>56</v>
      </c>
      <c r="B37" s="21"/>
      <c r="C37" s="21"/>
      <c r="D37" s="21"/>
      <c r="E37" s="21"/>
      <c r="F37" s="21"/>
      <c r="G37" s="21"/>
      <c r="H37" s="21"/>
    </row>
    <row r="38" spans="1:8" x14ac:dyDescent="0.35">
      <c r="A38" s="17" t="s">
        <v>54</v>
      </c>
      <c r="B38" s="17"/>
      <c r="C38" s="17"/>
      <c r="D38" s="17"/>
      <c r="E38" s="17"/>
      <c r="F38" s="17"/>
      <c r="G38" s="17"/>
      <c r="H38" s="17"/>
    </row>
    <row r="39" spans="1:8" x14ac:dyDescent="0.35">
      <c r="A39" s="17" t="s">
        <v>55</v>
      </c>
      <c r="B39" s="17"/>
      <c r="C39" s="17"/>
      <c r="D39" s="17"/>
      <c r="E39" s="17"/>
      <c r="F39" s="17"/>
      <c r="G39" s="17"/>
      <c r="H39" s="17"/>
    </row>
    <row r="40" spans="1:8" x14ac:dyDescent="0.35">
      <c r="A40" s="15"/>
      <c r="B40" s="10"/>
      <c r="C40" s="10"/>
      <c r="D40" s="10"/>
      <c r="E40" s="10"/>
      <c r="F40" s="10"/>
      <c r="G40" s="10"/>
      <c r="H40" s="10"/>
    </row>
    <row r="41" spans="1:8" x14ac:dyDescent="0.35">
      <c r="A41" s="17" t="s">
        <v>9</v>
      </c>
      <c r="B41" s="17"/>
      <c r="C41" s="17"/>
      <c r="D41" s="17"/>
      <c r="E41" s="17"/>
      <c r="F41" s="17"/>
      <c r="G41" s="17"/>
      <c r="H41" s="17"/>
    </row>
    <row r="42" spans="1:8" x14ac:dyDescent="0.35">
      <c r="A42" s="17"/>
      <c r="B42" s="17"/>
      <c r="C42" s="17"/>
      <c r="D42" s="17"/>
      <c r="E42" s="17"/>
      <c r="F42" s="17"/>
      <c r="G42" s="17"/>
      <c r="H42" s="17"/>
    </row>
    <row r="43" spans="1:8" x14ac:dyDescent="0.35">
      <c r="A43" s="17" t="s">
        <v>7</v>
      </c>
      <c r="B43" s="17"/>
      <c r="C43" s="17"/>
      <c r="D43" s="17"/>
      <c r="E43" s="17"/>
      <c r="F43" s="17"/>
      <c r="G43" s="17"/>
      <c r="H43" s="17"/>
    </row>
    <row r="44" spans="1:8" x14ac:dyDescent="0.35">
      <c r="A44" s="17"/>
      <c r="B44" s="17"/>
      <c r="C44" s="17"/>
      <c r="D44" s="17"/>
      <c r="E44" s="17"/>
      <c r="F44" s="17"/>
    </row>
    <row r="45" spans="1:8" x14ac:dyDescent="0.35">
      <c r="C45" s="9">
        <f>PI()*B29^2/D31</f>
        <v>0.13503538272099752</v>
      </c>
      <c r="D45" s="9" t="s">
        <v>10</v>
      </c>
    </row>
    <row r="46" spans="1:8" x14ac:dyDescent="0.35">
      <c r="C46" s="9">
        <f>0.046*0.1391</f>
        <v>6.3985999999999999E-3</v>
      </c>
      <c r="D46" s="9" t="s">
        <v>14</v>
      </c>
    </row>
    <row r="47" spans="1:8" x14ac:dyDescent="0.35">
      <c r="C47" s="9">
        <f>C46/C45</f>
        <v>4.7384617802138762E-2</v>
      </c>
      <c r="D47" s="9" t="s">
        <v>15</v>
      </c>
    </row>
    <row r="49" spans="3:8" x14ac:dyDescent="0.35">
      <c r="C49" s="11">
        <f>PI()/4*4.6^2*13.91</f>
        <v>231.17063966248594</v>
      </c>
      <c r="D49" s="5" t="s">
        <v>16</v>
      </c>
    </row>
    <row r="50" spans="3:8" x14ac:dyDescent="0.35">
      <c r="C50" s="11">
        <f>C49*D31/100^3</f>
        <v>0.50603253022118178</v>
      </c>
      <c r="D50" s="25" t="s">
        <v>17</v>
      </c>
      <c r="E50" s="25"/>
      <c r="F50" s="25"/>
      <c r="G50" s="25"/>
      <c r="H50" s="25"/>
    </row>
    <row r="51" spans="3:8" x14ac:dyDescent="0.35">
      <c r="C51" s="11">
        <f>PI()*(B29)^2*C35</f>
        <v>108.9741761387147</v>
      </c>
      <c r="D51" s="25" t="s">
        <v>32</v>
      </c>
      <c r="E51" s="25"/>
      <c r="F51" s="25"/>
      <c r="G51" s="25"/>
      <c r="H51" s="25"/>
    </row>
    <row r="52" spans="3:8" x14ac:dyDescent="0.35">
      <c r="C52" s="12">
        <f>C50/C51</f>
        <v>4.6436004212323306E-3</v>
      </c>
      <c r="D52" s="5" t="s">
        <v>11</v>
      </c>
    </row>
    <row r="53" spans="3:8" x14ac:dyDescent="0.35">
      <c r="C53" s="8">
        <f>C51/D31*1000</f>
        <v>49.782629574561305</v>
      </c>
      <c r="D53" s="25" t="s">
        <v>18</v>
      </c>
      <c r="E53" s="25"/>
      <c r="F53" s="25"/>
      <c r="G53" s="25"/>
      <c r="H53" s="25"/>
    </row>
    <row r="54" spans="3:8" x14ac:dyDescent="0.35">
      <c r="C54" s="8">
        <f>1000/C53</f>
        <v>20.087327819882688</v>
      </c>
      <c r="D54" s="5" t="s">
        <v>19</v>
      </c>
    </row>
    <row r="56" spans="3:8" x14ac:dyDescent="0.35">
      <c r="C56" s="23">
        <f>C54*Vorgaben!B8</f>
        <v>86.586955181494332</v>
      </c>
      <c r="D56" s="26" t="s">
        <v>20</v>
      </c>
      <c r="E56" s="26"/>
      <c r="F56" s="26"/>
      <c r="G56" s="26"/>
      <c r="H56" s="26"/>
    </row>
    <row r="57" spans="3:8" x14ac:dyDescent="0.35">
      <c r="C57" s="22">
        <f>C56/C54</f>
        <v>4.310526315789474</v>
      </c>
      <c r="D57" s="25" t="s">
        <v>21</v>
      </c>
      <c r="E57" s="25"/>
      <c r="F57" s="25"/>
      <c r="G57" s="25"/>
      <c r="H57" s="25"/>
    </row>
    <row r="58" spans="3:8" x14ac:dyDescent="0.35">
      <c r="C58" s="9">
        <f>C56*Vorgaben!B4</f>
        <v>20475560.368421052</v>
      </c>
      <c r="D58" s="21" t="s">
        <v>22</v>
      </c>
      <c r="E58" s="21"/>
      <c r="F58" s="21"/>
      <c r="G58" s="21"/>
      <c r="H58" s="21"/>
    </row>
    <row r="59" spans="3:8" x14ac:dyDescent="0.35">
      <c r="C59" s="13">
        <f>C58/1000</f>
        <v>20475.560368421051</v>
      </c>
      <c r="D59" s="5" t="s">
        <v>23</v>
      </c>
      <c r="G59" s="6"/>
    </row>
    <row r="60" spans="3:8" x14ac:dyDescent="0.35">
      <c r="C60" s="6"/>
    </row>
    <row r="61" spans="3:8" x14ac:dyDescent="0.35">
      <c r="C61" s="9">
        <f>Vorgaben!B4</f>
        <v>236473.96222101088</v>
      </c>
      <c r="D61" s="21" t="s">
        <v>24</v>
      </c>
      <c r="E61" s="21"/>
      <c r="F61" s="21"/>
      <c r="G61" s="21"/>
      <c r="H61" s="21"/>
    </row>
  </sheetData>
  <mergeCells count="16">
    <mergeCell ref="D57:H57"/>
    <mergeCell ref="D58:H58"/>
    <mergeCell ref="D61:H61"/>
    <mergeCell ref="A39:H39"/>
    <mergeCell ref="A37:H37"/>
    <mergeCell ref="A44:F44"/>
    <mergeCell ref="A43:H43"/>
    <mergeCell ref="D51:H51"/>
    <mergeCell ref="D50:H50"/>
    <mergeCell ref="D53:H53"/>
    <mergeCell ref="D56:H56"/>
    <mergeCell ref="A1:F2"/>
    <mergeCell ref="A33:B33"/>
    <mergeCell ref="A38:H38"/>
    <mergeCell ref="A42:H42"/>
    <mergeCell ref="A41:H41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38" zoomScaleNormal="100" workbookViewId="0">
      <pane ySplit="3190" topLeftCell="A41" activePane="bottomLeft"/>
      <selection activeCell="C47" sqref="C47"/>
      <selection pane="bottomLeft" activeCell="C70" sqref="C70"/>
    </sheetView>
  </sheetViews>
  <sheetFormatPr baseColWidth="10" defaultColWidth="10.453125" defaultRowHeight="14.5" x14ac:dyDescent="0.35"/>
  <cols>
    <col min="1" max="1" width="4.54296875" style="9" customWidth="1"/>
    <col min="2" max="2" width="6.6328125" style="9" customWidth="1"/>
    <col min="3" max="3" width="9.81640625" style="9" customWidth="1"/>
    <col min="4" max="4" width="9.26953125" style="9" customWidth="1"/>
    <col min="5" max="5" width="7" style="9" customWidth="1"/>
    <col min="6" max="6" width="8.1796875" style="9" customWidth="1"/>
    <col min="7" max="16384" width="10.453125" style="9"/>
  </cols>
  <sheetData>
    <row r="1" spans="1:8" ht="14.25" customHeight="1" x14ac:dyDescent="0.35">
      <c r="A1" s="18" t="s">
        <v>25</v>
      </c>
      <c r="B1" s="18"/>
      <c r="C1" s="18"/>
      <c r="D1" s="18"/>
      <c r="E1" s="18"/>
      <c r="F1" s="18"/>
    </row>
    <row r="2" spans="1:8" x14ac:dyDescent="0.35">
      <c r="A2" s="18"/>
      <c r="B2" s="18"/>
      <c r="C2" s="18"/>
      <c r="D2" s="18"/>
      <c r="E2" s="18"/>
      <c r="F2" s="18"/>
    </row>
    <row r="3" spans="1:8" x14ac:dyDescent="0.35">
      <c r="B3" s="9">
        <v>0.28181818181818208</v>
      </c>
      <c r="C3" s="8" t="s">
        <v>12</v>
      </c>
    </row>
    <row r="4" spans="1:8" ht="43.5" x14ac:dyDescent="0.35">
      <c r="A4" s="9" t="s">
        <v>0</v>
      </c>
      <c r="B4" s="9" t="s">
        <v>2</v>
      </c>
      <c r="C4" s="9" t="s">
        <v>3</v>
      </c>
      <c r="D4" s="9" t="s">
        <v>1</v>
      </c>
      <c r="E4" s="9" t="s">
        <v>4</v>
      </c>
      <c r="F4" s="14" t="s">
        <v>26</v>
      </c>
      <c r="G4" s="14" t="s">
        <v>59</v>
      </c>
      <c r="H4" s="14" t="s">
        <v>60</v>
      </c>
    </row>
    <row r="5" spans="1:8" x14ac:dyDescent="0.35">
      <c r="A5" s="9">
        <v>1</v>
      </c>
      <c r="B5" s="8">
        <v>0.4</v>
      </c>
      <c r="C5" s="3">
        <f>B5*2*PI()</f>
        <v>2.5132741228718345</v>
      </c>
      <c r="D5" s="2">
        <f>ROUND(C5/$C$42,0)</f>
        <v>27</v>
      </c>
      <c r="G5" s="4">
        <f>C5/D5-0.046</f>
        <v>4.708422677303091E-2</v>
      </c>
      <c r="H5" s="3">
        <f>$B$3-0.1391</f>
        <v>0.14271818181818208</v>
      </c>
    </row>
    <row r="6" spans="1:8" x14ac:dyDescent="0.35">
      <c r="A6" s="9">
        <v>2</v>
      </c>
      <c r="B6" s="3">
        <f>B5+$B$3</f>
        <v>0.6818181818181821</v>
      </c>
      <c r="C6" s="3">
        <f t="shared" ref="C6:C38" si="0">B6*2*PI()</f>
        <v>4.2839899821679017</v>
      </c>
      <c r="D6" s="2">
        <f t="shared" ref="D6:D38" si="1">ROUND(C6/$C$42,0)</f>
        <v>45</v>
      </c>
      <c r="E6" s="3">
        <f t="shared" ref="E6:E36" si="2">B6-B5</f>
        <v>0.28181818181818208</v>
      </c>
      <c r="F6" s="2">
        <f>D6-D5</f>
        <v>18</v>
      </c>
      <c r="G6" s="4">
        <f t="shared" ref="G6:G38" si="3">C6/D6-0.046</f>
        <v>4.9199777381508922E-2</v>
      </c>
      <c r="H6" s="3">
        <f t="shared" ref="H6:H38" si="4">$B$3-0.1391</f>
        <v>0.14271818181818208</v>
      </c>
    </row>
    <row r="7" spans="1:8" x14ac:dyDescent="0.35">
      <c r="A7" s="9">
        <v>3</v>
      </c>
      <c r="B7" s="8">
        <f t="shared" ref="B7:B36" si="5">B6*2-B5</f>
        <v>0.96363636363636418</v>
      </c>
      <c r="C7" s="3">
        <f t="shared" si="0"/>
        <v>6.0547058414639681</v>
      </c>
      <c r="D7" s="2">
        <f t="shared" si="1"/>
        <v>64</v>
      </c>
      <c r="E7" s="3">
        <f t="shared" si="2"/>
        <v>0.28181818181818208</v>
      </c>
      <c r="F7" s="2">
        <f t="shared" ref="F7:F38" si="6">D7-D6</f>
        <v>19</v>
      </c>
      <c r="G7" s="4">
        <f t="shared" si="3"/>
        <v>4.8604778772874502E-2</v>
      </c>
      <c r="H7" s="3">
        <f t="shared" si="4"/>
        <v>0.14271818181818208</v>
      </c>
    </row>
    <row r="8" spans="1:8" x14ac:dyDescent="0.35">
      <c r="A8" s="9">
        <v>4</v>
      </c>
      <c r="B8" s="8">
        <f t="shared" si="5"/>
        <v>1.2454545454545463</v>
      </c>
      <c r="C8" s="3">
        <f t="shared" si="0"/>
        <v>7.8254217007600353</v>
      </c>
      <c r="D8" s="2">
        <f t="shared" si="1"/>
        <v>83</v>
      </c>
      <c r="E8" s="3">
        <f t="shared" si="2"/>
        <v>0.28181818181818208</v>
      </c>
      <c r="F8" s="2">
        <f t="shared" si="6"/>
        <v>19</v>
      </c>
      <c r="G8" s="4">
        <f t="shared" si="3"/>
        <v>4.8282189165783557E-2</v>
      </c>
      <c r="H8" s="3">
        <f t="shared" si="4"/>
        <v>0.14271818181818208</v>
      </c>
    </row>
    <row r="9" spans="1:8" x14ac:dyDescent="0.35">
      <c r="A9" s="9">
        <v>5</v>
      </c>
      <c r="B9" s="8">
        <f t="shared" si="5"/>
        <v>1.5272727272727282</v>
      </c>
      <c r="C9" s="3">
        <f t="shared" si="0"/>
        <v>9.5961375600561016</v>
      </c>
      <c r="D9" s="2">
        <f t="shared" si="1"/>
        <v>102</v>
      </c>
      <c r="E9" s="3">
        <f t="shared" si="2"/>
        <v>0.28181818181818197</v>
      </c>
      <c r="F9" s="2">
        <f t="shared" si="6"/>
        <v>19</v>
      </c>
      <c r="G9" s="4">
        <f t="shared" si="3"/>
        <v>4.8079780000550021E-2</v>
      </c>
      <c r="H9" s="3">
        <f t="shared" si="4"/>
        <v>0.14271818181818208</v>
      </c>
    </row>
    <row r="10" spans="1:8" x14ac:dyDescent="0.35">
      <c r="A10" s="9">
        <v>6</v>
      </c>
      <c r="B10" s="8">
        <f t="shared" si="5"/>
        <v>1.8090909090909102</v>
      </c>
      <c r="C10" s="3">
        <f t="shared" si="0"/>
        <v>11.366853419352168</v>
      </c>
      <c r="D10" s="2">
        <f t="shared" si="1"/>
        <v>120</v>
      </c>
      <c r="E10" s="3">
        <f t="shared" si="2"/>
        <v>0.28181818181818197</v>
      </c>
      <c r="F10" s="2">
        <f t="shared" si="6"/>
        <v>18</v>
      </c>
      <c r="G10" s="4">
        <f t="shared" si="3"/>
        <v>4.8723778494601397E-2</v>
      </c>
      <c r="H10" s="3">
        <f t="shared" si="4"/>
        <v>0.14271818181818208</v>
      </c>
    </row>
    <row r="11" spans="1:8" x14ac:dyDescent="0.35">
      <c r="A11" s="9">
        <v>7</v>
      </c>
      <c r="B11" s="8">
        <f t="shared" si="5"/>
        <v>2.0909090909090922</v>
      </c>
      <c r="C11" s="3">
        <f t="shared" si="0"/>
        <v>13.137569278648234</v>
      </c>
      <c r="D11" s="2">
        <f t="shared" si="1"/>
        <v>139</v>
      </c>
      <c r="E11" s="3">
        <f t="shared" si="2"/>
        <v>0.28181818181818197</v>
      </c>
      <c r="F11" s="2">
        <f t="shared" si="6"/>
        <v>19</v>
      </c>
      <c r="G11" s="4">
        <f t="shared" si="3"/>
        <v>4.851488689674989E-2</v>
      </c>
      <c r="H11" s="3">
        <f t="shared" si="4"/>
        <v>0.14271818181818208</v>
      </c>
    </row>
    <row r="12" spans="1:8" x14ac:dyDescent="0.35">
      <c r="A12" s="9">
        <v>8</v>
      </c>
      <c r="B12" s="8">
        <f t="shared" si="5"/>
        <v>2.3727272727272739</v>
      </c>
      <c r="C12" s="3">
        <f t="shared" si="0"/>
        <v>14.908285137944299</v>
      </c>
      <c r="D12" s="2">
        <f t="shared" si="1"/>
        <v>158</v>
      </c>
      <c r="E12" s="3">
        <f t="shared" si="2"/>
        <v>0.28181818181818175</v>
      </c>
      <c r="F12" s="2">
        <f t="shared" si="6"/>
        <v>19</v>
      </c>
      <c r="G12" s="4">
        <f t="shared" si="3"/>
        <v>4.8356235050280374E-2</v>
      </c>
      <c r="H12" s="3">
        <f t="shared" si="4"/>
        <v>0.14271818181818208</v>
      </c>
    </row>
    <row r="13" spans="1:8" x14ac:dyDescent="0.35">
      <c r="A13" s="9">
        <v>9</v>
      </c>
      <c r="B13" s="8">
        <f t="shared" si="5"/>
        <v>2.6545454545454557</v>
      </c>
      <c r="C13" s="3">
        <f t="shared" si="0"/>
        <v>16.679000997240362</v>
      </c>
      <c r="D13" s="2">
        <f t="shared" si="1"/>
        <v>176</v>
      </c>
      <c r="E13" s="3">
        <f t="shared" si="2"/>
        <v>0.28181818181818175</v>
      </c>
      <c r="F13" s="2">
        <f t="shared" si="6"/>
        <v>18</v>
      </c>
      <c r="G13" s="4">
        <f t="shared" si="3"/>
        <v>4.8767051120683871E-2</v>
      </c>
      <c r="H13" s="3">
        <f t="shared" si="4"/>
        <v>0.14271818181818208</v>
      </c>
    </row>
    <row r="14" spans="1:8" x14ac:dyDescent="0.35">
      <c r="A14" s="9">
        <v>10</v>
      </c>
      <c r="B14" s="8">
        <f t="shared" si="5"/>
        <v>2.9363636363636374</v>
      </c>
      <c r="C14" s="3">
        <f t="shared" si="0"/>
        <v>18.449716856536426</v>
      </c>
      <c r="D14" s="2">
        <f t="shared" si="1"/>
        <v>195</v>
      </c>
      <c r="E14" s="3">
        <f t="shared" si="2"/>
        <v>0.28181818181818175</v>
      </c>
      <c r="F14" s="2">
        <f t="shared" si="6"/>
        <v>19</v>
      </c>
      <c r="G14" s="4">
        <f t="shared" si="3"/>
        <v>4.86139325976227E-2</v>
      </c>
      <c r="H14" s="3">
        <f t="shared" si="4"/>
        <v>0.14271818181818208</v>
      </c>
    </row>
    <row r="15" spans="1:8" x14ac:dyDescent="0.35">
      <c r="A15" s="9">
        <v>11</v>
      </c>
      <c r="B15" s="8">
        <f t="shared" si="5"/>
        <v>3.2181818181818191</v>
      </c>
      <c r="C15" s="3">
        <f t="shared" si="0"/>
        <v>20.220432715832494</v>
      </c>
      <c r="D15" s="2">
        <f t="shared" si="1"/>
        <v>214</v>
      </c>
      <c r="E15" s="3">
        <f t="shared" si="2"/>
        <v>0.28181818181818175</v>
      </c>
      <c r="F15" s="2">
        <f t="shared" si="6"/>
        <v>19</v>
      </c>
      <c r="G15" s="4">
        <f t="shared" si="3"/>
        <v>4.848800334501166E-2</v>
      </c>
      <c r="H15" s="3">
        <f t="shared" si="4"/>
        <v>0.14271818181818208</v>
      </c>
    </row>
    <row r="16" spans="1:8" x14ac:dyDescent="0.35">
      <c r="A16" s="9">
        <v>12</v>
      </c>
      <c r="B16" s="8">
        <f t="shared" si="5"/>
        <v>3.5000000000000009</v>
      </c>
      <c r="C16" s="3">
        <f t="shared" si="0"/>
        <v>21.991148575128559</v>
      </c>
      <c r="D16" s="2">
        <f t="shared" si="1"/>
        <v>233</v>
      </c>
      <c r="E16" s="3">
        <f t="shared" si="2"/>
        <v>0.28181818181818175</v>
      </c>
      <c r="F16" s="2">
        <f t="shared" si="6"/>
        <v>19</v>
      </c>
      <c r="G16" s="4">
        <f t="shared" si="3"/>
        <v>4.8382611910423007E-2</v>
      </c>
      <c r="H16" s="3">
        <f t="shared" si="4"/>
        <v>0.14271818181818208</v>
      </c>
    </row>
    <row r="17" spans="1:8" x14ac:dyDescent="0.35">
      <c r="A17" s="9">
        <v>13</v>
      </c>
      <c r="B17" s="8">
        <f t="shared" si="5"/>
        <v>3.7818181818181826</v>
      </c>
      <c r="C17" s="3">
        <f t="shared" si="0"/>
        <v>23.761864434424623</v>
      </c>
      <c r="D17" s="2">
        <f t="shared" si="1"/>
        <v>251</v>
      </c>
      <c r="E17" s="3">
        <f t="shared" si="2"/>
        <v>0.28181818181818175</v>
      </c>
      <c r="F17" s="2">
        <f t="shared" si="6"/>
        <v>18</v>
      </c>
      <c r="G17" s="4">
        <f t="shared" si="3"/>
        <v>4.8668782607269423E-2</v>
      </c>
      <c r="H17" s="3">
        <f t="shared" si="4"/>
        <v>0.14271818181818208</v>
      </c>
    </row>
    <row r="18" spans="1:8" x14ac:dyDescent="0.35">
      <c r="A18" s="9">
        <v>14</v>
      </c>
      <c r="B18" s="8">
        <f t="shared" si="5"/>
        <v>4.0636363636363644</v>
      </c>
      <c r="C18" s="3">
        <f t="shared" si="0"/>
        <v>25.532580293720688</v>
      </c>
      <c r="D18" s="2">
        <f t="shared" si="1"/>
        <v>270</v>
      </c>
      <c r="E18" s="3">
        <f t="shared" si="2"/>
        <v>0.28181818181818175</v>
      </c>
      <c r="F18" s="2">
        <f t="shared" si="6"/>
        <v>19</v>
      </c>
      <c r="G18" s="4">
        <f t="shared" si="3"/>
        <v>4.8565112198965518E-2</v>
      </c>
      <c r="H18" s="3">
        <f t="shared" si="4"/>
        <v>0.14271818181818208</v>
      </c>
    </row>
    <row r="19" spans="1:8" x14ac:dyDescent="0.35">
      <c r="A19" s="9">
        <v>15</v>
      </c>
      <c r="B19" s="8">
        <f t="shared" si="5"/>
        <v>4.3454545454545457</v>
      </c>
      <c r="C19" s="3">
        <f t="shared" si="0"/>
        <v>27.303296153016749</v>
      </c>
      <c r="D19" s="2">
        <f t="shared" si="1"/>
        <v>289</v>
      </c>
      <c r="E19" s="3">
        <f t="shared" si="2"/>
        <v>0.2818181818181813</v>
      </c>
      <c r="F19" s="2">
        <f t="shared" si="6"/>
        <v>19</v>
      </c>
      <c r="G19" s="4">
        <f t="shared" si="3"/>
        <v>4.8475073193829585E-2</v>
      </c>
      <c r="H19" s="3">
        <f t="shared" si="4"/>
        <v>0.14271818181818208</v>
      </c>
    </row>
    <row r="20" spans="1:8" x14ac:dyDescent="0.35">
      <c r="A20" s="9">
        <v>16</v>
      </c>
      <c r="B20" s="8">
        <f t="shared" si="5"/>
        <v>4.627272727272727</v>
      </c>
      <c r="C20" s="3">
        <f t="shared" si="0"/>
        <v>29.07401201231281</v>
      </c>
      <c r="D20" s="2">
        <f t="shared" si="1"/>
        <v>308</v>
      </c>
      <c r="E20" s="3">
        <f t="shared" si="2"/>
        <v>0.2818181818181813</v>
      </c>
      <c r="F20" s="2">
        <f t="shared" si="6"/>
        <v>19</v>
      </c>
      <c r="G20" s="4">
        <f t="shared" si="3"/>
        <v>4.8396142897119521E-2</v>
      </c>
      <c r="H20" s="3">
        <f t="shared" si="4"/>
        <v>0.14271818181818208</v>
      </c>
    </row>
    <row r="21" spans="1:8" x14ac:dyDescent="0.35">
      <c r="A21" s="9">
        <v>17</v>
      </c>
      <c r="B21" s="8">
        <f t="shared" si="5"/>
        <v>4.9090909090909083</v>
      </c>
      <c r="C21" s="3">
        <f t="shared" si="0"/>
        <v>30.844727871608871</v>
      </c>
      <c r="D21" s="2">
        <f t="shared" si="1"/>
        <v>326</v>
      </c>
      <c r="E21" s="3">
        <f t="shared" si="2"/>
        <v>0.2818181818181813</v>
      </c>
      <c r="F21" s="2">
        <f t="shared" si="6"/>
        <v>18</v>
      </c>
      <c r="G21" s="4">
        <f t="shared" si="3"/>
        <v>4.8615729667511876E-2</v>
      </c>
      <c r="H21" s="3">
        <f t="shared" si="4"/>
        <v>0.14271818181818208</v>
      </c>
    </row>
    <row r="22" spans="1:8" x14ac:dyDescent="0.35">
      <c r="A22" s="9">
        <v>18</v>
      </c>
      <c r="B22" s="8">
        <f t="shared" si="5"/>
        <v>5.1909090909090896</v>
      </c>
      <c r="C22" s="3">
        <f t="shared" si="0"/>
        <v>32.615443730904936</v>
      </c>
      <c r="D22" s="2">
        <f t="shared" si="1"/>
        <v>345</v>
      </c>
      <c r="E22" s="3">
        <f t="shared" si="2"/>
        <v>0.2818181818181813</v>
      </c>
      <c r="F22" s="2">
        <f t="shared" si="6"/>
        <v>19</v>
      </c>
      <c r="G22" s="4">
        <f t="shared" si="3"/>
        <v>4.8537518060594018E-2</v>
      </c>
      <c r="H22" s="3">
        <f t="shared" si="4"/>
        <v>0.14271818181818208</v>
      </c>
    </row>
    <row r="23" spans="1:8" x14ac:dyDescent="0.35">
      <c r="A23" s="9">
        <v>19</v>
      </c>
      <c r="B23" s="8">
        <f t="shared" si="5"/>
        <v>5.4727272727272709</v>
      </c>
      <c r="C23" s="3">
        <f t="shared" si="0"/>
        <v>34.386159590200997</v>
      </c>
      <c r="D23" s="2">
        <f t="shared" si="1"/>
        <v>364</v>
      </c>
      <c r="E23" s="3">
        <f t="shared" si="2"/>
        <v>0.2818181818181813</v>
      </c>
      <c r="F23" s="2">
        <f t="shared" si="6"/>
        <v>19</v>
      </c>
      <c r="G23" s="4">
        <f t="shared" si="3"/>
        <v>4.8467471401651085E-2</v>
      </c>
      <c r="H23" s="3">
        <f t="shared" si="4"/>
        <v>0.14271818181818208</v>
      </c>
    </row>
    <row r="24" spans="1:8" x14ac:dyDescent="0.35">
      <c r="A24" s="9">
        <v>20</v>
      </c>
      <c r="B24" s="8">
        <f t="shared" si="5"/>
        <v>5.7545454545454522</v>
      </c>
      <c r="C24" s="3">
        <f t="shared" si="0"/>
        <v>36.156875449497058</v>
      </c>
      <c r="D24" s="2">
        <f t="shared" si="1"/>
        <v>383</v>
      </c>
      <c r="E24" s="3">
        <f t="shared" si="2"/>
        <v>0.2818181818181813</v>
      </c>
      <c r="F24" s="2">
        <f t="shared" si="6"/>
        <v>19</v>
      </c>
      <c r="G24" s="4">
        <f t="shared" si="3"/>
        <v>4.840437454176777E-2</v>
      </c>
      <c r="H24" s="3">
        <f t="shared" si="4"/>
        <v>0.14271818181818208</v>
      </c>
    </row>
    <row r="25" spans="1:8" x14ac:dyDescent="0.35">
      <c r="A25" s="9">
        <v>21</v>
      </c>
      <c r="B25" s="8">
        <f t="shared" si="5"/>
        <v>6.0363636363636335</v>
      </c>
      <c r="C25" s="3">
        <f t="shared" si="0"/>
        <v>37.927591308793119</v>
      </c>
      <c r="D25" s="2">
        <f t="shared" si="1"/>
        <v>401</v>
      </c>
      <c r="E25" s="3">
        <f t="shared" si="2"/>
        <v>0.2818181818181813</v>
      </c>
      <c r="F25" s="2">
        <f t="shared" si="6"/>
        <v>18</v>
      </c>
      <c r="G25" s="4">
        <f t="shared" si="3"/>
        <v>4.858252196706514E-2</v>
      </c>
      <c r="H25" s="3">
        <f t="shared" si="4"/>
        <v>0.14271818181818208</v>
      </c>
    </row>
    <row r="26" spans="1:8" x14ac:dyDescent="0.35">
      <c r="A26" s="9">
        <v>22</v>
      </c>
      <c r="B26" s="8">
        <f t="shared" si="5"/>
        <v>6.3181818181818148</v>
      </c>
      <c r="C26" s="3">
        <f t="shared" si="0"/>
        <v>39.69830716808918</v>
      </c>
      <c r="D26" s="2">
        <f t="shared" si="1"/>
        <v>420</v>
      </c>
      <c r="E26" s="3">
        <f t="shared" si="2"/>
        <v>0.2818181818181813</v>
      </c>
      <c r="F26" s="2">
        <f t="shared" si="6"/>
        <v>19</v>
      </c>
      <c r="G26" s="4">
        <f t="shared" si="3"/>
        <v>4.8519778971640906E-2</v>
      </c>
      <c r="H26" s="3">
        <f t="shared" si="4"/>
        <v>0.14271818181818208</v>
      </c>
    </row>
    <row r="27" spans="1:8" x14ac:dyDescent="0.35">
      <c r="A27" s="9">
        <v>23</v>
      </c>
      <c r="B27" s="8">
        <f t="shared" si="5"/>
        <v>6.5999999999999961</v>
      </c>
      <c r="C27" s="3">
        <f t="shared" si="0"/>
        <v>41.469023027385248</v>
      </c>
      <c r="D27" s="2">
        <f t="shared" si="1"/>
        <v>439</v>
      </c>
      <c r="E27" s="3">
        <f t="shared" si="2"/>
        <v>0.2818181818181813</v>
      </c>
      <c r="F27" s="2">
        <f t="shared" si="6"/>
        <v>19</v>
      </c>
      <c r="G27" s="4">
        <f t="shared" si="3"/>
        <v>4.8462467032768214E-2</v>
      </c>
      <c r="H27" s="3">
        <f t="shared" si="4"/>
        <v>0.14271818181818208</v>
      </c>
    </row>
    <row r="28" spans="1:8" x14ac:dyDescent="0.35">
      <c r="A28" s="9">
        <v>24</v>
      </c>
      <c r="B28" s="8">
        <f t="shared" si="5"/>
        <v>6.8818181818181774</v>
      </c>
      <c r="C28" s="3">
        <f t="shared" si="0"/>
        <v>43.239738886681309</v>
      </c>
      <c r="D28" s="2">
        <f t="shared" si="1"/>
        <v>458</v>
      </c>
      <c r="E28" s="3">
        <f t="shared" si="2"/>
        <v>0.2818181818181813</v>
      </c>
      <c r="F28" s="2">
        <f t="shared" si="6"/>
        <v>19</v>
      </c>
      <c r="G28" s="4">
        <f t="shared" si="3"/>
        <v>4.8409910232928621E-2</v>
      </c>
      <c r="H28" s="3">
        <f t="shared" si="4"/>
        <v>0.14271818181818208</v>
      </c>
    </row>
    <row r="29" spans="1:8" x14ac:dyDescent="0.35">
      <c r="A29" s="9">
        <v>25</v>
      </c>
      <c r="B29" s="8">
        <f t="shared" si="5"/>
        <v>7.1636363636363587</v>
      </c>
      <c r="C29" s="3">
        <f t="shared" si="0"/>
        <v>45.01045474597737</v>
      </c>
      <c r="D29" s="2">
        <f t="shared" si="1"/>
        <v>476</v>
      </c>
      <c r="E29" s="3">
        <f t="shared" si="2"/>
        <v>0.2818181818181813</v>
      </c>
      <c r="F29" s="2">
        <f t="shared" si="6"/>
        <v>18</v>
      </c>
      <c r="G29" s="4">
        <f t="shared" si="3"/>
        <v>4.8559778878103713E-2</v>
      </c>
      <c r="H29" s="3">
        <f t="shared" si="4"/>
        <v>0.14271818181818208</v>
      </c>
    </row>
    <row r="30" spans="1:8" x14ac:dyDescent="0.35">
      <c r="A30" s="9">
        <v>26</v>
      </c>
      <c r="B30" s="8">
        <f t="shared" si="5"/>
        <v>7.44545454545454</v>
      </c>
      <c r="C30" s="3">
        <f t="shared" si="0"/>
        <v>46.781170605273431</v>
      </c>
      <c r="D30" s="2">
        <f t="shared" si="1"/>
        <v>495</v>
      </c>
      <c r="E30" s="3">
        <f t="shared" si="2"/>
        <v>0.2818181818181813</v>
      </c>
      <c r="F30" s="2">
        <f t="shared" si="6"/>
        <v>19</v>
      </c>
      <c r="G30" s="4">
        <f t="shared" si="3"/>
        <v>4.8507415364188747E-2</v>
      </c>
      <c r="H30" s="3">
        <f t="shared" si="4"/>
        <v>0.14271818181818208</v>
      </c>
    </row>
    <row r="31" spans="1:8" x14ac:dyDescent="0.35">
      <c r="A31" s="9">
        <v>27</v>
      </c>
      <c r="B31" s="8">
        <f t="shared" si="5"/>
        <v>7.7272727272727213</v>
      </c>
      <c r="C31" s="3">
        <f t="shared" si="0"/>
        <v>48.551886464569492</v>
      </c>
      <c r="D31" s="2">
        <f t="shared" si="1"/>
        <v>514</v>
      </c>
      <c r="E31" s="3">
        <f t="shared" si="2"/>
        <v>0.2818181818181813</v>
      </c>
      <c r="F31" s="2">
        <f t="shared" si="6"/>
        <v>19</v>
      </c>
      <c r="G31" s="4">
        <f t="shared" si="3"/>
        <v>4.845892308282003E-2</v>
      </c>
      <c r="H31" s="3">
        <f t="shared" si="4"/>
        <v>0.14271818181818208</v>
      </c>
    </row>
    <row r="32" spans="1:8" x14ac:dyDescent="0.35">
      <c r="A32" s="9">
        <v>28</v>
      </c>
      <c r="B32" s="8">
        <f t="shared" si="5"/>
        <v>8.0090909090909026</v>
      </c>
      <c r="C32" s="3">
        <f t="shared" si="0"/>
        <v>50.322602323865553</v>
      </c>
      <c r="D32" s="2">
        <f t="shared" si="1"/>
        <v>533</v>
      </c>
      <c r="E32" s="3">
        <f t="shared" si="2"/>
        <v>0.2818181818181813</v>
      </c>
      <c r="F32" s="2">
        <f t="shared" si="6"/>
        <v>19</v>
      </c>
      <c r="G32" s="4">
        <f t="shared" si="3"/>
        <v>4.8413888037271202E-2</v>
      </c>
      <c r="H32" s="3">
        <f t="shared" si="4"/>
        <v>0.14271818181818208</v>
      </c>
    </row>
    <row r="33" spans="1:8" x14ac:dyDescent="0.35">
      <c r="A33" s="9">
        <v>29</v>
      </c>
      <c r="B33" s="8">
        <f t="shared" si="5"/>
        <v>8.2909090909090839</v>
      </c>
      <c r="C33" s="3">
        <f t="shared" si="0"/>
        <v>52.093318183161614</v>
      </c>
      <c r="D33" s="2">
        <f t="shared" si="1"/>
        <v>551</v>
      </c>
      <c r="E33" s="3">
        <f t="shared" si="2"/>
        <v>0.2818181818181813</v>
      </c>
      <c r="F33" s="2">
        <f t="shared" si="6"/>
        <v>18</v>
      </c>
      <c r="G33" s="4">
        <f t="shared" si="3"/>
        <v>4.8543227192670804E-2</v>
      </c>
      <c r="H33" s="3">
        <f t="shared" si="4"/>
        <v>0.14271818181818208</v>
      </c>
    </row>
    <row r="34" spans="1:8" x14ac:dyDescent="0.35">
      <c r="A34" s="9">
        <v>30</v>
      </c>
      <c r="B34" s="8">
        <f t="shared" si="5"/>
        <v>8.5727272727272652</v>
      </c>
      <c r="C34" s="3">
        <f t="shared" si="0"/>
        <v>53.864034042457675</v>
      </c>
      <c r="D34" s="2">
        <f t="shared" si="1"/>
        <v>570</v>
      </c>
      <c r="E34" s="3">
        <f t="shared" si="2"/>
        <v>0.2818181818181813</v>
      </c>
      <c r="F34" s="2">
        <f t="shared" si="6"/>
        <v>19</v>
      </c>
      <c r="G34" s="4">
        <f t="shared" si="3"/>
        <v>4.8498305337645042E-2</v>
      </c>
      <c r="H34" s="3">
        <f t="shared" si="4"/>
        <v>0.14271818181818208</v>
      </c>
    </row>
    <row r="35" spans="1:8" x14ac:dyDescent="0.35">
      <c r="A35" s="9">
        <v>31</v>
      </c>
      <c r="B35" s="8">
        <f t="shared" si="5"/>
        <v>8.8545454545454465</v>
      </c>
      <c r="C35" s="3">
        <f t="shared" si="0"/>
        <v>55.634749901753743</v>
      </c>
      <c r="D35" s="2">
        <f t="shared" si="1"/>
        <v>589</v>
      </c>
      <c r="E35" s="3">
        <f t="shared" si="2"/>
        <v>0.2818181818181813</v>
      </c>
      <c r="F35" s="2">
        <f t="shared" si="6"/>
        <v>19</v>
      </c>
      <c r="G35" s="4">
        <f t="shared" si="3"/>
        <v>4.845628166681451E-2</v>
      </c>
      <c r="H35" s="3">
        <f t="shared" si="4"/>
        <v>0.14271818181818208</v>
      </c>
    </row>
    <row r="36" spans="1:8" x14ac:dyDescent="0.35">
      <c r="A36" s="9">
        <v>32</v>
      </c>
      <c r="B36" s="8">
        <f t="shared" si="5"/>
        <v>9.1363636363636278</v>
      </c>
      <c r="C36" s="3">
        <f t="shared" si="0"/>
        <v>57.405465761049804</v>
      </c>
      <c r="D36" s="2">
        <f t="shared" si="1"/>
        <v>607</v>
      </c>
      <c r="E36" s="3">
        <f t="shared" si="2"/>
        <v>0.2818181818181813</v>
      </c>
      <c r="F36" s="2">
        <f t="shared" si="6"/>
        <v>18</v>
      </c>
      <c r="G36" s="4">
        <f t="shared" si="3"/>
        <v>4.8572431237314334E-2</v>
      </c>
      <c r="H36" s="3">
        <f t="shared" si="4"/>
        <v>0.14271818181818208</v>
      </c>
    </row>
    <row r="37" spans="1:8" x14ac:dyDescent="0.35">
      <c r="A37" s="9">
        <v>33</v>
      </c>
      <c r="B37" s="8">
        <f t="shared" ref="B37:B38" si="7">B36*2-B35</f>
        <v>9.4181818181818091</v>
      </c>
      <c r="C37" s="3">
        <f t="shared" si="0"/>
        <v>59.176181620345865</v>
      </c>
      <c r="D37" s="2">
        <f t="shared" si="1"/>
        <v>626</v>
      </c>
      <c r="E37" s="3">
        <f t="shared" ref="E37:E38" si="8">B37-B36</f>
        <v>0.2818181818181813</v>
      </c>
      <c r="F37" s="2">
        <f t="shared" si="6"/>
        <v>19</v>
      </c>
      <c r="G37" s="4">
        <f t="shared" si="3"/>
        <v>4.8530641566047708E-2</v>
      </c>
      <c r="H37" s="3">
        <f t="shared" si="4"/>
        <v>0.14271818181818208</v>
      </c>
    </row>
    <row r="38" spans="1:8" x14ac:dyDescent="0.35">
      <c r="A38" s="9">
        <v>34</v>
      </c>
      <c r="B38" s="8">
        <f t="shared" si="7"/>
        <v>9.6999999999999904</v>
      </c>
      <c r="C38" s="3">
        <f t="shared" si="0"/>
        <v>60.946897479641926</v>
      </c>
      <c r="D38" s="2">
        <f t="shared" si="1"/>
        <v>645</v>
      </c>
      <c r="E38" s="3">
        <f t="shared" si="8"/>
        <v>0.2818181818181813</v>
      </c>
      <c r="F38" s="2">
        <f t="shared" si="6"/>
        <v>19</v>
      </c>
      <c r="G38" s="4">
        <f t="shared" si="3"/>
        <v>4.8491313921925461E-2</v>
      </c>
      <c r="H38" s="3">
        <f t="shared" si="4"/>
        <v>0.14271818181818208</v>
      </c>
    </row>
    <row r="39" spans="1:8" x14ac:dyDescent="0.35">
      <c r="B39" s="8"/>
      <c r="C39" s="3"/>
      <c r="E39" s="3"/>
      <c r="F39" s="4"/>
      <c r="G39" s="3"/>
    </row>
    <row r="40" spans="1:8" x14ac:dyDescent="0.35">
      <c r="B40" s="2"/>
      <c r="C40" s="3">
        <f>SUM(C5:C38)</f>
        <v>1078.8229172427345</v>
      </c>
      <c r="D40" s="2">
        <f>SUM(D5:D38)</f>
        <v>11416</v>
      </c>
      <c r="E40" s="9" t="s">
        <v>5</v>
      </c>
      <c r="F40" s="2"/>
    </row>
    <row r="41" spans="1:8" x14ac:dyDescent="0.35">
      <c r="B41" s="2"/>
      <c r="C41" s="3">
        <f>11416+D42</f>
        <v>11416.235619999999</v>
      </c>
      <c r="F41" s="2"/>
    </row>
    <row r="42" spans="1:8" x14ac:dyDescent="0.35">
      <c r="B42" s="2"/>
      <c r="C42" s="3">
        <f>C40/C41</f>
        <v>9.449900590285247E-2</v>
      </c>
      <c r="D42" s="9">
        <v>0.23562</v>
      </c>
      <c r="F42" s="2"/>
    </row>
    <row r="44" spans="1:8" x14ac:dyDescent="0.35">
      <c r="A44" s="19">
        <v>4750000</v>
      </c>
      <c r="B44" s="19"/>
      <c r="C44" s="2">
        <f>ROUND(A44/D40,0)</f>
        <v>416</v>
      </c>
      <c r="D44" s="9" t="s">
        <v>13</v>
      </c>
    </row>
    <row r="45" spans="1:8" x14ac:dyDescent="0.35">
      <c r="C45" s="9">
        <f>C44*D40</f>
        <v>4749056</v>
      </c>
      <c r="D45" s="9" t="s">
        <v>8</v>
      </c>
    </row>
    <row r="46" spans="1:8" x14ac:dyDescent="0.35">
      <c r="B46" s="9">
        <v>800</v>
      </c>
      <c r="C46" s="3">
        <f>B46/C44</f>
        <v>1.9230769230769231</v>
      </c>
      <c r="D46" s="9" t="s">
        <v>6</v>
      </c>
    </row>
    <row r="48" spans="1:8" x14ac:dyDescent="0.35">
      <c r="A48" s="17" t="s">
        <v>27</v>
      </c>
      <c r="B48" s="17"/>
      <c r="C48" s="17"/>
      <c r="D48" s="17"/>
      <c r="E48" s="17"/>
      <c r="F48" s="17"/>
      <c r="G48" s="17"/>
      <c r="H48" s="17"/>
    </row>
    <row r="49" spans="1:8" x14ac:dyDescent="0.35">
      <c r="A49" s="7" t="s">
        <v>28</v>
      </c>
      <c r="B49" s="10"/>
      <c r="C49" s="10"/>
      <c r="D49" s="10"/>
      <c r="E49" s="10"/>
      <c r="F49" s="10"/>
      <c r="G49" s="10"/>
      <c r="H49" s="10"/>
    </row>
    <row r="50" spans="1:8" x14ac:dyDescent="0.35">
      <c r="A50" s="17" t="s">
        <v>29</v>
      </c>
      <c r="B50" s="17"/>
      <c r="C50" s="17"/>
      <c r="D50" s="17"/>
      <c r="E50" s="17"/>
      <c r="F50" s="17"/>
      <c r="G50" s="17"/>
      <c r="H50" s="17"/>
    </row>
    <row r="51" spans="1:8" ht="19.5" customHeight="1" x14ac:dyDescent="0.35">
      <c r="A51" s="20" t="s">
        <v>30</v>
      </c>
      <c r="B51" s="20"/>
      <c r="C51" s="20"/>
      <c r="D51" s="20"/>
      <c r="E51" s="20"/>
      <c r="F51" s="20"/>
      <c r="G51" s="20"/>
      <c r="H51" s="20"/>
    </row>
    <row r="52" spans="1:8" x14ac:dyDescent="0.35">
      <c r="A52" s="20"/>
      <c r="B52" s="20"/>
      <c r="C52" s="20"/>
      <c r="D52" s="20"/>
      <c r="E52" s="20"/>
      <c r="F52" s="20"/>
      <c r="G52" s="20"/>
      <c r="H52" s="20"/>
    </row>
    <row r="53" spans="1:8" x14ac:dyDescent="0.35">
      <c r="A53" s="17" t="s">
        <v>9</v>
      </c>
      <c r="B53" s="17"/>
      <c r="C53" s="17"/>
      <c r="D53" s="17"/>
      <c r="E53" s="17"/>
      <c r="F53" s="17"/>
      <c r="G53" s="17"/>
      <c r="H53" s="17"/>
    </row>
    <row r="54" spans="1:8" x14ac:dyDescent="0.35">
      <c r="A54" s="17" t="s">
        <v>31</v>
      </c>
      <c r="B54" s="17"/>
      <c r="C54" s="17"/>
      <c r="D54" s="17"/>
      <c r="E54" s="17"/>
      <c r="F54" s="17"/>
    </row>
    <row r="56" spans="1:8" x14ac:dyDescent="0.35">
      <c r="A56" s="17" t="s">
        <v>7</v>
      </c>
      <c r="B56" s="17"/>
      <c r="C56" s="17"/>
      <c r="D56" s="17"/>
      <c r="E56" s="17"/>
      <c r="F56" s="17"/>
      <c r="G56" s="17"/>
      <c r="H56" s="17"/>
    </row>
    <row r="58" spans="1:8" x14ac:dyDescent="0.35">
      <c r="C58" s="9">
        <f>PI()*(B38)^2/D40</f>
        <v>2.5892821721817019E-2</v>
      </c>
      <c r="D58" s="9" t="s">
        <v>10</v>
      </c>
    </row>
    <row r="59" spans="1:8" x14ac:dyDescent="0.35">
      <c r="C59" s="9">
        <f>0.046*0.1391</f>
        <v>6.3985999999999999E-3</v>
      </c>
      <c r="D59" s="9" t="s">
        <v>14</v>
      </c>
    </row>
    <row r="60" spans="1:8" x14ac:dyDescent="0.35">
      <c r="C60" s="9">
        <f>C59/C58</f>
        <v>0.2471186828822371</v>
      </c>
      <c r="D60" s="9" t="s">
        <v>15</v>
      </c>
    </row>
    <row r="62" spans="1:8" x14ac:dyDescent="0.35">
      <c r="C62" s="11">
        <f>PI()/4*4.6^2*13.91</f>
        <v>231.17063966248594</v>
      </c>
      <c r="D62" s="5" t="s">
        <v>16</v>
      </c>
    </row>
    <row r="63" spans="1:8" x14ac:dyDescent="0.35">
      <c r="C63" s="11">
        <f>C62*D40/100^3</f>
        <v>2.6390440223869391</v>
      </c>
      <c r="D63" s="5" t="s">
        <v>17</v>
      </c>
    </row>
    <row r="64" spans="1:8" x14ac:dyDescent="0.35">
      <c r="C64" s="11">
        <f>PI()*(B38)^2*C46</f>
        <v>568.44702456973675</v>
      </c>
      <c r="D64" s="5" t="s">
        <v>32</v>
      </c>
    </row>
    <row r="65" spans="3:7" x14ac:dyDescent="0.35">
      <c r="C65" s="12">
        <f>C63/C64</f>
        <v>4.6425505074715765E-3</v>
      </c>
      <c r="D65" s="5" t="s">
        <v>11</v>
      </c>
    </row>
    <row r="66" spans="3:7" x14ac:dyDescent="0.35">
      <c r="C66" s="8">
        <f>C64/D40*1000</f>
        <v>49.793887926571195</v>
      </c>
      <c r="D66" s="5" t="s">
        <v>18</v>
      </c>
    </row>
    <row r="67" spans="3:7" x14ac:dyDescent="0.35">
      <c r="C67" s="8">
        <f>1000/C66</f>
        <v>20.082786093639744</v>
      </c>
      <c r="D67" s="5" t="s">
        <v>19</v>
      </c>
    </row>
    <row r="69" spans="3:7" x14ac:dyDescent="0.35">
      <c r="C69" s="16">
        <f>C70*C67</f>
        <v>86.567377951005</v>
      </c>
      <c r="D69" s="9" t="s">
        <v>20</v>
      </c>
    </row>
    <row r="70" spans="3:7" x14ac:dyDescent="0.35">
      <c r="C70" s="8">
        <v>4.310526315789474</v>
      </c>
      <c r="D70" s="5" t="s">
        <v>21</v>
      </c>
    </row>
    <row r="71" spans="3:7" x14ac:dyDescent="0.35">
      <c r="C71" s="9">
        <f>C69*C75</f>
        <v>20470930.863157891</v>
      </c>
      <c r="D71" s="9" t="s">
        <v>22</v>
      </c>
    </row>
    <row r="72" spans="3:7" x14ac:dyDescent="0.35">
      <c r="C72" s="13">
        <f>C71/1000</f>
        <v>20470.93086315789</v>
      </c>
      <c r="D72" s="5" t="s">
        <v>23</v>
      </c>
      <c r="G72" s="6"/>
    </row>
    <row r="73" spans="3:7" x14ac:dyDescent="0.35">
      <c r="C73" s="9">
        <v>20475000.000000004</v>
      </c>
    </row>
    <row r="75" spans="3:7" x14ac:dyDescent="0.35">
      <c r="C75" s="9">
        <f>B46*PI()*(B38)^2</f>
        <v>236473.96222101047</v>
      </c>
      <c r="D75" s="9" t="s">
        <v>24</v>
      </c>
    </row>
    <row r="77" spans="3:7" x14ac:dyDescent="0.35">
      <c r="C77" s="13">
        <f>C70*A44/1000</f>
        <v>20475</v>
      </c>
      <c r="D77" s="5" t="s">
        <v>23</v>
      </c>
    </row>
  </sheetData>
  <mergeCells count="8">
    <mergeCell ref="A54:F54"/>
    <mergeCell ref="A56:H56"/>
    <mergeCell ref="A1:F2"/>
    <mergeCell ref="A44:B44"/>
    <mergeCell ref="A48:H48"/>
    <mergeCell ref="A50:H50"/>
    <mergeCell ref="A53:H53"/>
    <mergeCell ref="A51:H5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Vorgaben</vt:lpstr>
      <vt:lpstr>Tabelle5</vt:lpstr>
      <vt:lpstr>Tab_11416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</dc:creator>
  <dc:description/>
  <cp:lastModifiedBy>Gerd</cp:lastModifiedBy>
  <cp:revision>4</cp:revision>
  <dcterms:created xsi:type="dcterms:W3CDTF">2025-01-14T17:52:50Z</dcterms:created>
  <dcterms:modified xsi:type="dcterms:W3CDTF">2025-02-05T16:35:17Z</dcterms:modified>
  <dc:language>de-DE</dc:language>
</cp:coreProperties>
</file>